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CCMU\Outros\Migração\2024-2\"/>
    </mc:Choice>
  </mc:AlternateContent>
  <xr:revisionPtr revIDLastSave="0" documentId="13_ncr:1_{7D82678F-F128-4C2C-A0FB-E92C8099EDC8}" xr6:coauthVersionLast="47" xr6:coauthVersionMax="47" xr10:uidLastSave="{00000000-0000-0000-0000-000000000000}"/>
  <bookViews>
    <workbookView xWindow="-108" yWindow="-108" windowWidth="23256" windowHeight="12720" firstSheet="1" activeTab="1" xr2:uid="{E43FC027-917F-468F-A26A-20E35598BFAD}"/>
  </bookViews>
  <sheets>
    <sheet name="Gráfico1" sheetId="2" r:id="rId1"/>
    <sheet name="CCMU Migração Curricular" sheetId="1" r:id="rId2"/>
  </sheets>
  <definedNames>
    <definedName name="_xlnm.Print_Area" localSheetId="1">'CCMU Migração Curricular'!$Z$3:$AC$61,'CCMU Migração Curricular'!$A$2:$G$2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7" i="1" l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7" i="1"/>
  <c r="Q36" i="1"/>
  <c r="Q35" i="1"/>
  <c r="Q34" i="1"/>
  <c r="Q33" i="1"/>
  <c r="Q32" i="1"/>
  <c r="Q31" i="1"/>
  <c r="Q30" i="1"/>
  <c r="Q29" i="1"/>
  <c r="Q28" i="1"/>
  <c r="Q26" i="1"/>
  <c r="Q24" i="1"/>
  <c r="Q22" i="1"/>
  <c r="Q21" i="1"/>
  <c r="Q19" i="1"/>
  <c r="Q18" i="1"/>
  <c r="Q17" i="1"/>
  <c r="Q13" i="1"/>
  <c r="Q12" i="1"/>
  <c r="Q11" i="1"/>
  <c r="Q10" i="1"/>
  <c r="Q9" i="1"/>
  <c r="Q7" i="1"/>
  <c r="AC60" i="1"/>
  <c r="Y59" i="1"/>
  <c r="S59" i="1"/>
  <c r="O59" i="1"/>
  <c r="R77" i="1"/>
  <c r="O77" i="1"/>
  <c r="C77" i="1"/>
  <c r="S77" i="1" s="1"/>
  <c r="S75" i="1"/>
  <c r="S74" i="1"/>
  <c r="S73" i="1"/>
  <c r="S72" i="1"/>
  <c r="S71" i="1"/>
  <c r="S70" i="1"/>
  <c r="S69" i="1"/>
  <c r="S67" i="1"/>
  <c r="S65" i="1"/>
  <c r="S63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O78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8" i="1"/>
  <c r="R58" i="1" s="1"/>
  <c r="AA58" i="1" s="1"/>
  <c r="O57" i="1"/>
  <c r="R57" i="1" s="1"/>
  <c r="O56" i="1"/>
  <c r="R56" i="1" s="1"/>
  <c r="O55" i="1"/>
  <c r="R55" i="1" s="1"/>
  <c r="AA55" i="1" s="1"/>
  <c r="O54" i="1"/>
  <c r="R54" i="1" s="1"/>
  <c r="O53" i="1"/>
  <c r="R53" i="1" s="1"/>
  <c r="Z53" i="1" s="1"/>
  <c r="O52" i="1"/>
  <c r="R52" i="1" s="1"/>
  <c r="O51" i="1"/>
  <c r="R51" i="1" s="1"/>
  <c r="O50" i="1"/>
  <c r="R50" i="1" s="1"/>
  <c r="O49" i="1"/>
  <c r="R49" i="1" s="1"/>
  <c r="O48" i="1"/>
  <c r="R48" i="1" s="1"/>
  <c r="O47" i="1"/>
  <c r="R47" i="1" s="1"/>
  <c r="O46" i="1"/>
  <c r="R46" i="1" s="1"/>
  <c r="AA46" i="1" s="1"/>
  <c r="O45" i="1"/>
  <c r="R45" i="1" s="1"/>
  <c r="O44" i="1"/>
  <c r="R44" i="1" s="1"/>
  <c r="O43" i="1"/>
  <c r="R43" i="1" s="1"/>
  <c r="AA43" i="1" s="1"/>
  <c r="O42" i="1"/>
  <c r="R42" i="1" s="1"/>
  <c r="O41" i="1"/>
  <c r="R41" i="1" s="1"/>
  <c r="O40" i="1"/>
  <c r="R40" i="1" s="1"/>
  <c r="O39" i="1"/>
  <c r="R39" i="1" s="1"/>
  <c r="O38" i="1"/>
  <c r="R38" i="1" s="1"/>
  <c r="AA38" i="1" s="1"/>
  <c r="O37" i="1"/>
  <c r="R37" i="1" s="1"/>
  <c r="O36" i="1"/>
  <c r="R36" i="1" s="1"/>
  <c r="O35" i="1"/>
  <c r="R35" i="1" s="1"/>
  <c r="O34" i="1"/>
  <c r="R34" i="1" s="1"/>
  <c r="AA34" i="1" s="1"/>
  <c r="O33" i="1"/>
  <c r="R33" i="1" s="1"/>
  <c r="O32" i="1"/>
  <c r="R32" i="1" s="1"/>
  <c r="O31" i="1"/>
  <c r="R31" i="1" s="1"/>
  <c r="O30" i="1"/>
  <c r="R30" i="1" s="1"/>
  <c r="O29" i="1"/>
  <c r="R29" i="1" s="1"/>
  <c r="O28" i="1"/>
  <c r="R28" i="1" s="1"/>
  <c r="O27" i="1"/>
  <c r="R27" i="1" s="1"/>
  <c r="O26" i="1"/>
  <c r="R26" i="1" s="1"/>
  <c r="O25" i="1"/>
  <c r="R25" i="1" s="1"/>
  <c r="O24" i="1"/>
  <c r="R24" i="1" s="1"/>
  <c r="O23" i="1"/>
  <c r="R23" i="1" s="1"/>
  <c r="AA23" i="1" s="1"/>
  <c r="O22" i="1"/>
  <c r="R22" i="1" s="1"/>
  <c r="AA22" i="1" s="1"/>
  <c r="O21" i="1"/>
  <c r="R21" i="1" s="1"/>
  <c r="O20" i="1"/>
  <c r="R20" i="1" s="1"/>
  <c r="AA20" i="1" s="1"/>
  <c r="O19" i="1"/>
  <c r="R19" i="1" s="1"/>
  <c r="O18" i="1"/>
  <c r="R18" i="1" s="1"/>
  <c r="O17" i="1"/>
  <c r="R17" i="1" s="1"/>
  <c r="O16" i="1"/>
  <c r="R16" i="1" s="1"/>
  <c r="O15" i="1"/>
  <c r="R15" i="1" s="1"/>
  <c r="O14" i="1"/>
  <c r="R14" i="1" s="1"/>
  <c r="O13" i="1"/>
  <c r="R13" i="1" s="1"/>
  <c r="O12" i="1"/>
  <c r="R12" i="1" s="1"/>
  <c r="O11" i="1"/>
  <c r="R11" i="1" s="1"/>
  <c r="O10" i="1"/>
  <c r="R10" i="1" s="1"/>
  <c r="AA10" i="1" s="1"/>
  <c r="O9" i="1"/>
  <c r="R9" i="1" s="1"/>
  <c r="O8" i="1"/>
  <c r="R8" i="1" s="1"/>
  <c r="O7" i="1"/>
  <c r="R7" i="1" s="1"/>
  <c r="O6" i="1"/>
  <c r="R6" i="1" s="1"/>
  <c r="O5" i="1"/>
  <c r="R5" i="1" s="1"/>
  <c r="S57" i="1"/>
  <c r="C57" i="1"/>
  <c r="S58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C76" i="1"/>
  <c r="S76" i="1" s="1"/>
  <c r="C75" i="1"/>
  <c r="C74" i="1"/>
  <c r="J73" i="1"/>
  <c r="J72" i="1"/>
  <c r="J71" i="1"/>
  <c r="J70" i="1"/>
  <c r="J69" i="1"/>
  <c r="J68" i="1"/>
  <c r="C68" i="1"/>
  <c r="S68" i="1" s="1"/>
  <c r="J67" i="1"/>
  <c r="C67" i="1"/>
  <c r="J66" i="1"/>
  <c r="C66" i="1"/>
  <c r="S66" i="1" s="1"/>
  <c r="J65" i="1"/>
  <c r="C65" i="1"/>
  <c r="J64" i="1"/>
  <c r="C64" i="1"/>
  <c r="S64" i="1" s="1"/>
  <c r="AB59" i="1" s="1"/>
  <c r="Z59" i="1" s="1"/>
  <c r="J63" i="1"/>
  <c r="J62" i="1"/>
  <c r="C62" i="1"/>
  <c r="S62" i="1" s="1"/>
  <c r="J58" i="1"/>
  <c r="C58" i="1"/>
  <c r="J56" i="1"/>
  <c r="J55" i="1"/>
  <c r="C55" i="1"/>
  <c r="J54" i="1"/>
  <c r="C54" i="1"/>
  <c r="C52" i="1"/>
  <c r="J51" i="1"/>
  <c r="C51" i="1"/>
  <c r="J50" i="1"/>
  <c r="J49" i="1"/>
  <c r="J48" i="1"/>
  <c r="C48" i="1"/>
  <c r="J47" i="1"/>
  <c r="C46" i="1"/>
  <c r="J45" i="1"/>
  <c r="J44" i="1"/>
  <c r="J43" i="1"/>
  <c r="C43" i="1"/>
  <c r="J42" i="1"/>
  <c r="C42" i="1"/>
  <c r="J40" i="1"/>
  <c r="C39" i="1"/>
  <c r="J38" i="1"/>
  <c r="C38" i="1"/>
  <c r="J37" i="1"/>
  <c r="J36" i="1"/>
  <c r="C36" i="1"/>
  <c r="J35" i="1"/>
  <c r="C35" i="1"/>
  <c r="J30" i="1"/>
  <c r="C30" i="1"/>
  <c r="J29" i="1"/>
  <c r="C29" i="1"/>
  <c r="J28" i="1"/>
  <c r="C28" i="1"/>
  <c r="J27" i="1"/>
  <c r="C27" i="1"/>
  <c r="J26" i="1"/>
  <c r="C25" i="1"/>
  <c r="J23" i="1"/>
  <c r="C23" i="1"/>
  <c r="J22" i="1"/>
  <c r="C22" i="1"/>
  <c r="J21" i="1"/>
  <c r="C21" i="1"/>
  <c r="J20" i="1"/>
  <c r="C20" i="1"/>
  <c r="C16" i="1"/>
  <c r="C15" i="1"/>
  <c r="J14" i="1"/>
  <c r="C14" i="1"/>
  <c r="J12" i="1"/>
  <c r="C12" i="1"/>
  <c r="J11" i="1"/>
  <c r="C11" i="1"/>
  <c r="C10" i="1"/>
  <c r="C9" i="1"/>
  <c r="C8" i="1"/>
  <c r="C6" i="1"/>
  <c r="C5" i="1"/>
  <c r="J9" i="1"/>
  <c r="J8" i="1"/>
  <c r="J6" i="1"/>
  <c r="J5" i="1"/>
  <c r="U78" i="1" l="1"/>
  <c r="T78" i="1"/>
  <c r="V78" i="1"/>
  <c r="AC59" i="1"/>
  <c r="Q38" i="1"/>
  <c r="Q27" i="1"/>
  <c r="Q25" i="1"/>
  <c r="Q23" i="1"/>
  <c r="Q20" i="1"/>
  <c r="Q15" i="1"/>
  <c r="Q16" i="1"/>
  <c r="Q14" i="1"/>
  <c r="Q8" i="1"/>
  <c r="Q6" i="1"/>
  <c r="Q5" i="1"/>
  <c r="AA59" i="1"/>
  <c r="S78" i="1"/>
  <c r="Y22" i="1"/>
  <c r="Y23" i="1"/>
  <c r="Y5" i="1"/>
  <c r="Y27" i="1"/>
  <c r="Y39" i="1"/>
  <c r="Y43" i="1"/>
  <c r="Y44" i="1"/>
  <c r="Y55" i="1"/>
  <c r="Y56" i="1"/>
  <c r="Y6" i="1"/>
  <c r="Y58" i="1"/>
  <c r="Y10" i="1"/>
  <c r="Y9" i="1"/>
  <c r="Y40" i="1"/>
  <c r="Y8" i="1"/>
  <c r="Y25" i="1"/>
  <c r="Y42" i="1"/>
  <c r="Y57" i="1"/>
  <c r="Y11" i="1"/>
  <c r="Y28" i="1"/>
  <c r="Y45" i="1"/>
  <c r="Y12" i="1"/>
  <c r="Y29" i="1"/>
  <c r="Y47" i="1"/>
  <c r="Y14" i="1"/>
  <c r="Y30" i="1"/>
  <c r="Y48" i="1"/>
  <c r="Y15" i="1"/>
  <c r="Y35" i="1"/>
  <c r="Y49" i="1"/>
  <c r="Y26" i="1"/>
  <c r="Y16" i="1"/>
  <c r="Y36" i="1"/>
  <c r="Y50" i="1"/>
  <c r="Y20" i="1"/>
  <c r="Y37" i="1"/>
  <c r="Y51" i="1"/>
  <c r="Y21" i="1"/>
  <c r="Y38" i="1"/>
  <c r="Y54" i="1"/>
  <c r="Z60" i="1"/>
  <c r="AA47" i="1"/>
  <c r="Z47" i="1"/>
  <c r="AA17" i="1"/>
  <c r="Z17" i="1"/>
  <c r="AA29" i="1"/>
  <c r="Z29" i="1"/>
  <c r="AA41" i="1"/>
  <c r="Z41" i="1"/>
  <c r="AA19" i="1"/>
  <c r="Z19" i="1"/>
  <c r="AA32" i="1"/>
  <c r="Z32" i="1"/>
  <c r="AA21" i="1"/>
  <c r="Z21" i="1"/>
  <c r="AA33" i="1"/>
  <c r="Z33" i="1"/>
  <c r="AA35" i="1"/>
  <c r="Z35" i="1"/>
  <c r="AA24" i="1"/>
  <c r="Z24" i="1"/>
  <c r="AA36" i="1"/>
  <c r="Z36" i="1"/>
  <c r="AA37" i="1"/>
  <c r="Z37" i="1"/>
  <c r="AA26" i="1"/>
  <c r="Z26" i="1"/>
  <c r="AA27" i="1"/>
  <c r="Z27" i="1"/>
  <c r="AA39" i="1"/>
  <c r="Z39" i="1"/>
  <c r="AA51" i="1"/>
  <c r="Z51" i="1"/>
  <c r="AA7" i="1"/>
  <c r="Z7" i="1"/>
  <c r="AA31" i="1"/>
  <c r="Z31" i="1"/>
  <c r="AA8" i="1"/>
  <c r="Z8" i="1"/>
  <c r="AA44" i="1"/>
  <c r="Z44" i="1"/>
  <c r="AA56" i="1"/>
  <c r="Z56" i="1"/>
  <c r="AA45" i="1"/>
  <c r="Z45" i="1"/>
  <c r="AA57" i="1"/>
  <c r="Z57" i="1"/>
  <c r="AA12" i="1"/>
  <c r="Z12" i="1"/>
  <c r="AA13" i="1"/>
  <c r="Z13" i="1"/>
  <c r="AA50" i="1"/>
  <c r="Z50" i="1"/>
  <c r="AA15" i="1"/>
  <c r="Z15" i="1"/>
  <c r="AA16" i="1"/>
  <c r="Z16" i="1"/>
  <c r="AA52" i="1"/>
  <c r="Z52" i="1"/>
  <c r="AA9" i="1"/>
  <c r="Z9" i="1"/>
  <c r="AA11" i="1"/>
  <c r="Z11" i="1"/>
  <c r="AA48" i="1"/>
  <c r="Z48" i="1"/>
  <c r="AA25" i="1"/>
  <c r="Z25" i="1"/>
  <c r="AA49" i="1"/>
  <c r="Z49" i="1"/>
  <c r="AA14" i="1"/>
  <c r="Z14" i="1"/>
  <c r="AA28" i="1"/>
  <c r="Z28" i="1"/>
  <c r="AA40" i="1"/>
  <c r="Z40" i="1"/>
  <c r="AA6" i="1"/>
  <c r="Z6" i="1"/>
  <c r="AA18" i="1"/>
  <c r="Z18" i="1"/>
  <c r="AA30" i="1"/>
  <c r="Z30" i="1"/>
  <c r="AA42" i="1"/>
  <c r="Z42" i="1"/>
  <c r="AA54" i="1"/>
  <c r="Z54" i="1"/>
  <c r="Z23" i="1"/>
  <c r="AA53" i="1"/>
  <c r="Z43" i="1"/>
  <c r="Z55" i="1"/>
  <c r="Z20" i="1"/>
  <c r="Z38" i="1"/>
  <c r="Z10" i="1"/>
  <c r="Z22" i="1"/>
  <c r="Z34" i="1"/>
  <c r="Z46" i="1"/>
  <c r="Z58" i="1"/>
  <c r="Z5" i="1"/>
  <c r="AA5" i="1"/>
  <c r="AB61" i="1" l="1"/>
  <c r="AC61" i="1" s="1"/>
  <c r="AB60" i="1"/>
  <c r="AA60" i="1"/>
  <c r="Z61" i="1" l="1"/>
  <c r="AA61" i="1"/>
</calcChain>
</file>

<file path=xl/sharedStrings.xml><?xml version="1.0" encoding="utf-8"?>
<sst xmlns="http://schemas.openxmlformats.org/spreadsheetml/2006/main" count="268" uniqueCount="190">
  <si>
    <t>Código</t>
  </si>
  <si>
    <t>Disciplina</t>
  </si>
  <si>
    <t>CH</t>
  </si>
  <si>
    <t>CT</t>
  </si>
  <si>
    <t>CP</t>
  </si>
  <si>
    <t>CE</t>
  </si>
  <si>
    <t>UCE</t>
  </si>
  <si>
    <t>Currículo 15 (2010/2 a 2014/1)</t>
  </si>
  <si>
    <t>Currículo 20 (2014/2 a 2021/1)</t>
  </si>
  <si>
    <t>História da Música I</t>
  </si>
  <si>
    <t>Organização da Educação Brasileira</t>
  </si>
  <si>
    <t>Metodologia do Trabalho Científico</t>
  </si>
  <si>
    <t>História da Música II</t>
  </si>
  <si>
    <t>Fundamentos da Arte na Educação</t>
  </si>
  <si>
    <t>Prática Coral I</t>
  </si>
  <si>
    <t>PECC</t>
  </si>
  <si>
    <t>Prática Coral II</t>
  </si>
  <si>
    <t>Metodologia da Pesquisa em Música</t>
  </si>
  <si>
    <t>Prática de Regência</t>
  </si>
  <si>
    <t>Orientação de TCC I</t>
  </si>
  <si>
    <t>Prática de Conjunto I</t>
  </si>
  <si>
    <t>Orientação de TCC II</t>
  </si>
  <si>
    <t>Prática de Conjunto II</t>
  </si>
  <si>
    <t>Trabalho de Conclusão de Curso</t>
  </si>
  <si>
    <t>Atividades Complementares</t>
  </si>
  <si>
    <t>DMUS0210</t>
  </si>
  <si>
    <t>DMUS0234</t>
  </si>
  <si>
    <t>Unidade Curricular de Extensão</t>
  </si>
  <si>
    <t>Média</t>
  </si>
  <si>
    <t>Frequência</t>
  </si>
  <si>
    <t>DARC0046</t>
  </si>
  <si>
    <t>Expressão Corporal</t>
  </si>
  <si>
    <t>DEEI0120</t>
  </si>
  <si>
    <t>Didática I (MU)</t>
  </si>
  <si>
    <t>Didática II (MU)</t>
  </si>
  <si>
    <t>Psicologia da Educação I (MU)</t>
  </si>
  <si>
    <t>DEII0145</t>
  </si>
  <si>
    <t>DMUS0001</t>
  </si>
  <si>
    <t>DMUS0002</t>
  </si>
  <si>
    <t>Piano Complementar I</t>
  </si>
  <si>
    <t>DMUS0003</t>
  </si>
  <si>
    <t>Estruturação Musical</t>
  </si>
  <si>
    <t>DEEI0121</t>
  </si>
  <si>
    <t>DEII0146</t>
  </si>
  <si>
    <t>Psicologia da Educação II (MU)</t>
  </si>
  <si>
    <t>DMUS0004</t>
  </si>
  <si>
    <t>DMUS0005</t>
  </si>
  <si>
    <t>Piano Complementar II</t>
  </si>
  <si>
    <t>Percepção Musical I</t>
  </si>
  <si>
    <t>Percepção Musical II</t>
  </si>
  <si>
    <t>DMUS0006</t>
  </si>
  <si>
    <t>DMUS0007</t>
  </si>
  <si>
    <t>Metodologia do Ensino da Música</t>
  </si>
  <si>
    <t>Filosofia (MU)</t>
  </si>
  <si>
    <t>DFIL0005</t>
  </si>
  <si>
    <t>DMUS0008</t>
  </si>
  <si>
    <t>Laboratório de Criação Musical I</t>
  </si>
  <si>
    <t>DMUS0009</t>
  </si>
  <si>
    <t>Violão Complementar I</t>
  </si>
  <si>
    <t>DMUS0010</t>
  </si>
  <si>
    <t>DMUS011</t>
  </si>
  <si>
    <t>Musicalização I</t>
  </si>
  <si>
    <t>DMUS0012</t>
  </si>
  <si>
    <t>DMUS0013</t>
  </si>
  <si>
    <t>Laboratório de Criação Musical II</t>
  </si>
  <si>
    <t>DMUS0014</t>
  </si>
  <si>
    <t>Violão Complementar II</t>
  </si>
  <si>
    <t>DMUS0015</t>
  </si>
  <si>
    <t>Harmonia Aplicada</t>
  </si>
  <si>
    <t>DMUS0016</t>
  </si>
  <si>
    <t>Musicalização II</t>
  </si>
  <si>
    <t>DMUS0017</t>
  </si>
  <si>
    <t>DMUS0018</t>
  </si>
  <si>
    <t>Leitura e Produção Textual em Música</t>
  </si>
  <si>
    <t>Iniciação à Regência e Organologia</t>
  </si>
  <si>
    <t>DMUS0020</t>
  </si>
  <si>
    <t>Harmonia e Análise I</t>
  </si>
  <si>
    <t>DMUS0021</t>
  </si>
  <si>
    <t>Prática de Flauta Doce em Grupo</t>
  </si>
  <si>
    <t>DMUS0022</t>
  </si>
  <si>
    <t>Musicalização III</t>
  </si>
  <si>
    <t>DMUS0023</t>
  </si>
  <si>
    <t>DMUS0024</t>
  </si>
  <si>
    <t>Estágio Supervisionado I</t>
  </si>
  <si>
    <t>DMUS0025</t>
  </si>
  <si>
    <t>DMUS0026</t>
  </si>
  <si>
    <t>DMUS0027</t>
  </si>
  <si>
    <t>Educação Inclusiva em Música</t>
  </si>
  <si>
    <t>DMUS0028</t>
  </si>
  <si>
    <t>Fundamentos de Musicologia</t>
  </si>
  <si>
    <t>DMUS0029</t>
  </si>
  <si>
    <t>DMUS0030</t>
  </si>
  <si>
    <t>Estágio Supervisionado II</t>
  </si>
  <si>
    <t>DMUS0031</t>
  </si>
  <si>
    <t>DEII0148</t>
  </si>
  <si>
    <t>LIBRAS (MU)</t>
  </si>
  <si>
    <t>DLER0410</t>
  </si>
  <si>
    <t>DMUS0032</t>
  </si>
  <si>
    <t>DMUS0033</t>
  </si>
  <si>
    <t>Estágio Supervisionado III</t>
  </si>
  <si>
    <t>DMUS0034</t>
  </si>
  <si>
    <t>DMUS0062</t>
  </si>
  <si>
    <t>Atividades Acad. Complementares</t>
  </si>
  <si>
    <t>DMUS0155</t>
  </si>
  <si>
    <t>Harmonia e Análise II</t>
  </si>
  <si>
    <t>DMUS0037</t>
  </si>
  <si>
    <t>Harmonia e Análise III</t>
  </si>
  <si>
    <t>DMUS0038</t>
  </si>
  <si>
    <t>História da Música Maranhense</t>
  </si>
  <si>
    <t>DMUS0046</t>
  </si>
  <si>
    <t>Percussão Complementar</t>
  </si>
  <si>
    <t>DMUS0048</t>
  </si>
  <si>
    <t>Percepção I</t>
  </si>
  <si>
    <t>DMUS0063</t>
  </si>
  <si>
    <t>Instrumento Auxiliar - Piano I</t>
  </si>
  <si>
    <t>DMUS0064</t>
  </si>
  <si>
    <t>DMUS0065</t>
  </si>
  <si>
    <t>DMUS0102</t>
  </si>
  <si>
    <t>Antropologia Cultural</t>
  </si>
  <si>
    <t>DSOC0184</t>
  </si>
  <si>
    <t>DEPB0056</t>
  </si>
  <si>
    <t>Musicalização I - Educação Infantil</t>
  </si>
  <si>
    <t>DMUS0066</t>
  </si>
  <si>
    <t>Instrumento Auxiliar - Piano II</t>
  </si>
  <si>
    <t>DMUS0067</t>
  </si>
  <si>
    <t>Percepção II</t>
  </si>
  <si>
    <t>DMUS0068</t>
  </si>
  <si>
    <t>Técnica de Expressão Vocal</t>
  </si>
  <si>
    <t>DMUS0070</t>
  </si>
  <si>
    <t>História da Música Brasileira</t>
  </si>
  <si>
    <t>DMUS0019</t>
  </si>
  <si>
    <t>Musicalização II - Ensino Fundamental</t>
  </si>
  <si>
    <t>Cursada</t>
  </si>
  <si>
    <t>Sim</t>
  </si>
  <si>
    <t>Não</t>
  </si>
  <si>
    <t>Instrumento Auxiliar - Violão I</t>
  </si>
  <si>
    <t>DMUS0072</t>
  </si>
  <si>
    <t>DMUS0073</t>
  </si>
  <si>
    <t>DMUS0071</t>
  </si>
  <si>
    <t>DMUS0074</t>
  </si>
  <si>
    <t>Musicalização III - Ensino Médio</t>
  </si>
  <si>
    <t>Instrumento Auxiliar - Violão II</t>
  </si>
  <si>
    <t>DMUS0076</t>
  </si>
  <si>
    <t>DMUS0077</t>
  </si>
  <si>
    <t>Musicalização IV - Ensino Informal</t>
  </si>
  <si>
    <t>DMUS0078</t>
  </si>
  <si>
    <t>Prática de Conjunto III</t>
  </si>
  <si>
    <t>DMUS0079</t>
  </si>
  <si>
    <t>Estágio Superv. I - Educação Infantil</t>
  </si>
  <si>
    <t>DMUS0080</t>
  </si>
  <si>
    <t>DMUS0084</t>
  </si>
  <si>
    <t>Estágio Superv. II - Ensino Fundamental</t>
  </si>
  <si>
    <t>Regência Coral</t>
  </si>
  <si>
    <t>DMUS0081</t>
  </si>
  <si>
    <t>DMUS0082</t>
  </si>
  <si>
    <t>Orientação de Monografia I</t>
  </si>
  <si>
    <t>DMUS0083</t>
  </si>
  <si>
    <t>Regência Orquestral</t>
  </si>
  <si>
    <t>DMUS0085</t>
  </si>
  <si>
    <t>Orientação de Monografia II</t>
  </si>
  <si>
    <t>DMUS0086</t>
  </si>
  <si>
    <t>Estágio Superv. III - Ensino Médio</t>
  </si>
  <si>
    <t>DMUS0087</t>
  </si>
  <si>
    <t>DLER0307</t>
  </si>
  <si>
    <t>Monografia</t>
  </si>
  <si>
    <t>DMUS0090</t>
  </si>
  <si>
    <t>Estágio Superv. IV - Ensino Informal</t>
  </si>
  <si>
    <t>DMUS0091</t>
  </si>
  <si>
    <t>DMUS0092</t>
  </si>
  <si>
    <t>-</t>
  </si>
  <si>
    <t>Verificar</t>
  </si>
  <si>
    <t>Disciplina equivalente cursada</t>
  </si>
  <si>
    <t>Per.</t>
  </si>
  <si>
    <t>Currículo 10 (em exercício desde 2021/2)</t>
  </si>
  <si>
    <t>Estudante:</t>
  </si>
  <si>
    <t>Matrícula:</t>
  </si>
  <si>
    <t>Ingresso:</t>
  </si>
  <si>
    <t>Currículo:</t>
  </si>
  <si>
    <t>Prazo Limite:</t>
  </si>
  <si>
    <t>Aproveitamentos</t>
  </si>
  <si>
    <r>
      <rPr>
        <b/>
        <sz val="11"/>
        <color theme="1"/>
        <rFont val="Aptos Narrow"/>
        <family val="2"/>
        <scheme val="minor"/>
      </rPr>
      <t>UNIVERSIDADE FEDERAL DO MARANHÃO</t>
    </r>
    <r>
      <rPr>
        <sz val="11"/>
        <color theme="1"/>
        <rFont val="Aptos Narrow"/>
        <family val="2"/>
        <scheme val="minor"/>
      </rPr>
      <t xml:space="preserve">
CENTRO DE CIÊNCIAS HUMANAS — CCH
</t>
    </r>
    <r>
      <rPr>
        <sz val="10"/>
        <color theme="1"/>
        <rFont val="Aptos Narrow"/>
        <family val="2"/>
        <scheme val="minor"/>
      </rPr>
      <t>CURSO DE MÚSICA LICENCIATURA EM SÃO LUÍS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4"/>
        <color theme="1"/>
        <rFont val="Aptos Narrow"/>
        <family val="2"/>
        <scheme val="minor"/>
      </rPr>
      <t>PLANILHA PARA MIGRAÇÃO CURRICULAR</t>
    </r>
  </si>
  <si>
    <t>10 - 2021/2</t>
  </si>
  <si>
    <t>2024/1</t>
  </si>
  <si>
    <t>2029/2</t>
  </si>
  <si>
    <t>OPTATIVAS</t>
  </si>
  <si>
    <t>Extra</t>
  </si>
  <si>
    <t>Optativas I a IV</t>
  </si>
  <si>
    <t>Carga horária total de optativas:</t>
  </si>
  <si>
    <t>Nome</t>
  </si>
  <si>
    <t>N.ª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</si>
</sst>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499984740745262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0" borderId="1" xfId="0" applyNumberFormat="1" applyBorder="1" applyAlignment="1" applyProtection="1">
      <alignment vertical="center"/>
      <protection hidden="1"/>
    </xf>
    <xf numFmtId="1" fontId="0" fillId="0" borderId="1" xfId="0" applyNumberFormat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3" fillId="0" borderId="0" xfId="0" applyFont="1"/>
    <xf numFmtId="49" fontId="0" fillId="0" borderId="3" xfId="0" applyNumberFormat="1" applyBorder="1" applyAlignment="1" applyProtection="1">
      <alignment horizont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49" fontId="0" fillId="0" borderId="9" xfId="0" applyNumberFormat="1" applyBorder="1" applyAlignment="1" applyProtection="1">
      <alignment horizontal="center"/>
      <protection hidden="1"/>
    </xf>
    <xf numFmtId="49" fontId="1" fillId="0" borderId="10" xfId="0" applyNumberFormat="1" applyFont="1" applyBorder="1" applyAlignment="1" applyProtection="1">
      <alignment vertical="center"/>
      <protection hidden="1"/>
    </xf>
    <xf numFmtId="49" fontId="1" fillId="0" borderId="12" xfId="0" applyNumberFormat="1" applyFont="1" applyBorder="1" applyAlignment="1" applyProtection="1">
      <alignment vertical="center"/>
      <protection hidden="1"/>
    </xf>
    <xf numFmtId="49" fontId="0" fillId="0" borderId="13" xfId="0" applyNumberFormat="1" applyBorder="1" applyAlignment="1" applyProtection="1">
      <alignment vertical="center"/>
      <protection hidden="1"/>
    </xf>
    <xf numFmtId="1" fontId="0" fillId="0" borderId="13" xfId="0" applyNumberFormat="1" applyBorder="1" applyAlignment="1" applyProtection="1">
      <alignment horizontal="right" vertical="center"/>
      <protection hidden="1"/>
    </xf>
    <xf numFmtId="49" fontId="0" fillId="0" borderId="2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1" fontId="0" fillId="0" borderId="11" xfId="0" applyNumberFormat="1" applyBorder="1" applyProtection="1">
      <protection hidden="1"/>
    </xf>
    <xf numFmtId="0" fontId="0" fillId="0" borderId="13" xfId="0" applyBorder="1" applyAlignment="1" applyProtection="1">
      <alignment vertical="center"/>
      <protection hidden="1"/>
    </xf>
    <xf numFmtId="49" fontId="2" fillId="0" borderId="0" xfId="0" applyNumberFormat="1" applyFont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right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49" fontId="0" fillId="2" borderId="15" xfId="0" applyNumberFormat="1" applyFill="1" applyBorder="1" applyAlignment="1" applyProtection="1">
      <alignment horizontal="center"/>
      <protection hidden="1"/>
    </xf>
    <xf numFmtId="49" fontId="0" fillId="2" borderId="18" xfId="0" applyNumberFormat="1" applyFill="1" applyBorder="1" applyAlignment="1" applyProtection="1">
      <alignment horizontal="center"/>
      <protection hidden="1"/>
    </xf>
    <xf numFmtId="49" fontId="0" fillId="2" borderId="19" xfId="0" applyNumberForma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vertical="center"/>
      <protection hidden="1"/>
    </xf>
    <xf numFmtId="1" fontId="0" fillId="0" borderId="3" xfId="0" applyNumberFormat="1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1" fontId="0" fillId="0" borderId="20" xfId="0" applyNumberForma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1" fontId="0" fillId="0" borderId="21" xfId="0" applyNumberFormat="1" applyBorder="1" applyAlignment="1" applyProtection="1">
      <alignment horizontal="right" vertical="center"/>
      <protection hidden="1"/>
    </xf>
    <xf numFmtId="1" fontId="0" fillId="0" borderId="9" xfId="0" applyNumberFormat="1" applyBorder="1" applyProtection="1">
      <protection hidden="1"/>
    </xf>
    <xf numFmtId="0" fontId="0" fillId="0" borderId="26" xfId="0" applyBorder="1" applyProtection="1">
      <protection hidden="1"/>
    </xf>
    <xf numFmtId="0" fontId="0" fillId="0" borderId="29" xfId="0" applyBorder="1" applyProtection="1">
      <protection hidden="1"/>
    </xf>
    <xf numFmtId="1" fontId="0" fillId="0" borderId="26" xfId="0" applyNumberFormat="1" applyBorder="1" applyProtection="1">
      <protection hidden="1"/>
    </xf>
    <xf numFmtId="1" fontId="0" fillId="0" borderId="29" xfId="0" applyNumberFormat="1" applyBorder="1" applyProtection="1">
      <protection hidden="1"/>
    </xf>
    <xf numFmtId="1" fontId="0" fillId="0" borderId="29" xfId="0" applyNumberFormat="1" applyBorder="1" applyAlignment="1" applyProtection="1">
      <alignment horizontal="right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6" fillId="0" borderId="13" xfId="0" applyFont="1" applyBorder="1" applyAlignment="1" applyProtection="1">
      <alignment vertical="center"/>
      <protection hidden="1"/>
    </xf>
    <xf numFmtId="1" fontId="6" fillId="0" borderId="13" xfId="0" applyNumberFormat="1" applyFont="1" applyBorder="1" applyAlignment="1" applyProtection="1">
      <alignment vertical="center"/>
      <protection hidden="1"/>
    </xf>
    <xf numFmtId="1" fontId="6" fillId="0" borderId="13" xfId="0" applyNumberFormat="1" applyFont="1" applyBorder="1" applyAlignment="1" applyProtection="1">
      <alignment horizontal="right" vertical="center"/>
      <protection hidden="1"/>
    </xf>
    <xf numFmtId="1" fontId="6" fillId="0" borderId="14" xfId="0" applyNumberFormat="1" applyFont="1" applyBorder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4" fillId="3" borderId="27" xfId="0" applyFont="1" applyFill="1" applyBorder="1" applyAlignment="1" applyProtection="1">
      <alignment horizontal="center" vertical="center"/>
      <protection hidden="1"/>
    </xf>
    <xf numFmtId="0" fontId="4" fillId="3" borderId="28" xfId="0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center" vertical="center" textRotation="90"/>
      <protection hidden="1"/>
    </xf>
    <xf numFmtId="0" fontId="4" fillId="3" borderId="33" xfId="0" applyFont="1" applyFill="1" applyBorder="1" applyAlignment="1" applyProtection="1">
      <alignment horizontal="center" vertical="center" textRotation="90"/>
      <protection hidden="1"/>
    </xf>
    <xf numFmtId="0" fontId="4" fillId="3" borderId="30" xfId="0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center" vertical="center"/>
      <protection hidden="1"/>
    </xf>
    <xf numFmtId="0" fontId="4" fillId="3" borderId="32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/>
      <protection hidden="1"/>
    </xf>
    <xf numFmtId="49" fontId="2" fillId="0" borderId="6" xfId="0" applyNumberFormat="1" applyFont="1" applyBorder="1" applyAlignment="1" applyProtection="1">
      <alignment horizontal="center"/>
      <protection hidden="1"/>
    </xf>
    <xf numFmtId="49" fontId="2" fillId="0" borderId="7" xfId="0" applyNumberFormat="1" applyFont="1" applyBorder="1" applyAlignment="1" applyProtection="1">
      <alignment horizontal="center"/>
      <protection hidden="1"/>
    </xf>
    <xf numFmtId="49" fontId="2" fillId="2" borderId="5" xfId="0" applyNumberFormat="1" applyFont="1" applyFill="1" applyBorder="1" applyAlignment="1" applyProtection="1">
      <alignment horizontal="center" vertical="center"/>
      <protection hidden="1"/>
    </xf>
    <xf numFmtId="49" fontId="2" fillId="2" borderId="6" xfId="0" applyNumberFormat="1" applyFont="1" applyFill="1" applyBorder="1" applyAlignment="1" applyProtection="1">
      <alignment horizontal="center" vertical="center"/>
      <protection hidden="1"/>
    </xf>
    <xf numFmtId="49" fontId="2" fillId="2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49" fontId="2" fillId="0" borderId="0" xfId="0" applyNumberFormat="1" applyFont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b/>
        <i val="0"/>
        <strike val="0"/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5F5F5"/>
      <color rgb="FFDEF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'CCMU Migração Curricular'!$S$1:$S$3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Currículo 10 (em exercício desde 2021/2)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Curricular'!$S$4:$S$78</c:f>
              <c:numCache>
                <c:formatCode>0</c:formatCode>
                <c:ptCount val="75"/>
                <c:pt idx="0" formatCode="@">
                  <c:v>0</c:v>
                </c:pt>
                <c:pt idx="1">
                  <c:v>60</c:v>
                </c:pt>
                <c:pt idx="2">
                  <c:v>45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45</c:v>
                </c:pt>
                <c:pt idx="7">
                  <c:v>60</c:v>
                </c:pt>
                <c:pt idx="8">
                  <c:v>45</c:v>
                </c:pt>
                <c:pt idx="9">
                  <c:v>30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45</c:v>
                </c:pt>
                <c:pt idx="15">
                  <c:v>30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45</c:v>
                </c:pt>
                <c:pt idx="22">
                  <c:v>30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45</c:v>
                </c:pt>
                <c:pt idx="28">
                  <c:v>45</c:v>
                </c:pt>
                <c:pt idx="29">
                  <c:v>30</c:v>
                </c:pt>
                <c:pt idx="30">
                  <c:v>60</c:v>
                </c:pt>
                <c:pt idx="31">
                  <c:v>45</c:v>
                </c:pt>
                <c:pt idx="32">
                  <c:v>60</c:v>
                </c:pt>
                <c:pt idx="33">
                  <c:v>45</c:v>
                </c:pt>
                <c:pt idx="34">
                  <c:v>60</c:v>
                </c:pt>
                <c:pt idx="35">
                  <c:v>90</c:v>
                </c:pt>
                <c:pt idx="36">
                  <c:v>45</c:v>
                </c:pt>
                <c:pt idx="37">
                  <c:v>30</c:v>
                </c:pt>
                <c:pt idx="38">
                  <c:v>60</c:v>
                </c:pt>
                <c:pt idx="39">
                  <c:v>60</c:v>
                </c:pt>
                <c:pt idx="40">
                  <c:v>30</c:v>
                </c:pt>
                <c:pt idx="41">
                  <c:v>60</c:v>
                </c:pt>
                <c:pt idx="42">
                  <c:v>90</c:v>
                </c:pt>
                <c:pt idx="43">
                  <c:v>30</c:v>
                </c:pt>
                <c:pt idx="44">
                  <c:v>60</c:v>
                </c:pt>
                <c:pt idx="45">
                  <c:v>60</c:v>
                </c:pt>
                <c:pt idx="46">
                  <c:v>30</c:v>
                </c:pt>
                <c:pt idx="47">
                  <c:v>45</c:v>
                </c:pt>
                <c:pt idx="48">
                  <c:v>90</c:v>
                </c:pt>
                <c:pt idx="49">
                  <c:v>30</c:v>
                </c:pt>
                <c:pt idx="50">
                  <c:v>60</c:v>
                </c:pt>
                <c:pt idx="51">
                  <c:v>45</c:v>
                </c:pt>
                <c:pt idx="52">
                  <c:v>30</c:v>
                </c:pt>
                <c:pt idx="53">
                  <c:v>90</c:v>
                </c:pt>
                <c:pt idx="54">
                  <c:v>60</c:v>
                </c:pt>
                <c:pt idx="55">
                  <c:v>120</c:v>
                </c:pt>
                <c:pt idx="56">
                  <c:v>110</c:v>
                </c:pt>
                <c:pt idx="57">
                  <c:v>350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69" formatCode="General">
                  <c:v>0</c:v>
                </c:pt>
                <c:pt idx="70" formatCode="General">
                  <c:v>0</c:v>
                </c:pt>
                <c:pt idx="71" formatCode="General">
                  <c:v>0</c:v>
                </c:pt>
                <c:pt idx="72" formatCode="General">
                  <c:v>0</c:v>
                </c:pt>
                <c:pt idx="73" formatCode="General">
                  <c:v>0</c:v>
                </c:pt>
                <c:pt idx="7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1-4DC7-9336-D1A74F8AF084}"/>
            </c:ext>
          </c:extLst>
        </c:ser>
        <c:ser>
          <c:idx val="1"/>
          <c:order val="1"/>
          <c:tx>
            <c:strRef>
              <c:f>'CCMU Migração Curricular'!$T$1:$T$3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Currículo 10 (em exercício desde 2021/2)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Curricular'!$T$4:$T$78</c:f>
              <c:numCache>
                <c:formatCode>0</c:formatCode>
                <c:ptCount val="75"/>
                <c:pt idx="0" formatCode="@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2</c:v>
                </c:pt>
                <c:pt idx="55">
                  <c:v>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1-4DC7-9336-D1A74F8AF084}"/>
            </c:ext>
          </c:extLst>
        </c:ser>
        <c:ser>
          <c:idx val="2"/>
          <c:order val="2"/>
          <c:tx>
            <c:strRef>
              <c:f>'CCMU Migração Curricular'!$U$1:$U$3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Currículo 10 (em exercício desde 2021/2)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Curricular'!$U$4:$U$78</c:f>
              <c:numCache>
                <c:formatCode>0</c:formatCode>
                <c:ptCount val="75"/>
                <c:pt idx="0" formatCode="@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1-4DC7-9336-D1A74F8AF084}"/>
            </c:ext>
          </c:extLst>
        </c:ser>
        <c:ser>
          <c:idx val="3"/>
          <c:order val="3"/>
          <c:tx>
            <c:strRef>
              <c:f>'CCMU Migração Curricular'!$V$1:$V$3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Currículo 10 (em exercício desde 2021/2)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Curricular'!$V$4:$V$78</c:f>
              <c:numCache>
                <c:formatCode>0</c:formatCode>
                <c:ptCount val="75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1-4DC7-9336-D1A74F8AF084}"/>
            </c:ext>
          </c:extLst>
        </c:ser>
        <c:ser>
          <c:idx val="4"/>
          <c:order val="4"/>
          <c:tx>
            <c:strRef>
              <c:f>'CCMU Migração Curricular'!$W$1:$W$3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Currículo 10 (em exercício desde 2021/2)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Curricular'!$W$4:$W$78</c:f>
              <c:numCache>
                <c:formatCode>0</c:formatCode>
                <c:ptCount val="75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2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1-4DC7-9336-D1A74F8AF084}"/>
            </c:ext>
          </c:extLst>
        </c:ser>
        <c:ser>
          <c:idx val="5"/>
          <c:order val="5"/>
          <c:tx>
            <c:strRef>
              <c:f>'CCMU Migração Curricular'!$X$1:$X$3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Currículo 10 (em exercício desde 2021/2)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Curricular'!$X$4:$X$78</c:f>
            </c:numRef>
          </c:val>
          <c:extLst>
            <c:ext xmlns:c16="http://schemas.microsoft.com/office/drawing/2014/chart" uri="{C3380CC4-5D6E-409C-BE32-E72D297353CC}">
              <c16:uniqueId val="{00000005-5691-4DC7-9336-D1A74F8AF084}"/>
            </c:ext>
          </c:extLst>
        </c:ser>
        <c:ser>
          <c:idx val="6"/>
          <c:order val="6"/>
          <c:tx>
            <c:strRef>
              <c:f>'CCMU Migração Curricular'!$Y$1:$Y$3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Currículo 10 (em exercício desde 2021/2)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Curricular'!$Y$4:$Y$78</c:f>
              <c:numCache>
                <c:formatCode>General</c:formatCode>
                <c:ptCount val="75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 formatCode="0">
                  <c:v>0</c:v>
                </c:pt>
                <c:pt idx="5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91-4DC7-9336-D1A74F8AF084}"/>
            </c:ext>
          </c:extLst>
        </c:ser>
        <c:ser>
          <c:idx val="7"/>
          <c:order val="7"/>
          <c:tx>
            <c:strRef>
              <c:f>'CCMU Migração Curricular'!$Z$1:$Z$3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Aproveitamentos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Curricular'!$Z$4:$Z$78</c:f>
              <c:numCache>
                <c:formatCode>General</c:formatCode>
                <c:ptCount val="75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91-4DC7-9336-D1A74F8AF084}"/>
            </c:ext>
          </c:extLst>
        </c:ser>
        <c:ser>
          <c:idx val="8"/>
          <c:order val="8"/>
          <c:tx>
            <c:strRef>
              <c:f>'CCMU Migração Curricular'!$AA$1:$AA$3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Aproveitamentos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Curricular'!$AA$4:$AA$78</c:f>
              <c:numCache>
                <c:formatCode>General</c:formatCode>
                <c:ptCount val="75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91-4DC7-9336-D1A74F8AF084}"/>
            </c:ext>
          </c:extLst>
        </c:ser>
        <c:ser>
          <c:idx val="9"/>
          <c:order val="9"/>
          <c:tx>
            <c:strRef>
              <c:f>'CCMU Migração Curricular'!$AB$1:$AB$3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Aproveitamentos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Curricular'!$AB$4:$AB$78</c:f>
              <c:numCache>
                <c:formatCode>0.0</c:formatCode>
                <c:ptCount val="75"/>
                <c:pt idx="0" formatCode="@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91-4DC7-9336-D1A74F8AF084}"/>
            </c:ext>
          </c:extLst>
        </c:ser>
        <c:ser>
          <c:idx val="10"/>
          <c:order val="10"/>
          <c:tx>
            <c:strRef>
              <c:f>'CCMU Migração Curricular'!$AC$1:$AC$3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Aproveitamentos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Curricular'!$AC$4:$AC$78</c:f>
              <c:numCache>
                <c:formatCode>0.0%</c:formatCode>
                <c:ptCount val="75"/>
                <c:pt idx="0" formatCode="@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91-4DC7-9336-D1A74F8AF084}"/>
            </c:ext>
          </c:extLst>
        </c:ser>
        <c:ser>
          <c:idx val="11"/>
          <c:order val="11"/>
          <c:tx>
            <c:strRef>
              <c:f>'CCMU Migração Curricular'!$AD$1:$AD$3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Sim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Curricular'!$AD$4:$AD$78</c:f>
              <c:numCache>
                <c:formatCode>General</c:formatCode>
                <c:ptCount val="75"/>
              </c:numCache>
            </c:numRef>
          </c:val>
          <c:extLst>
            <c:ext xmlns:c16="http://schemas.microsoft.com/office/drawing/2014/chart" uri="{C3380CC4-5D6E-409C-BE32-E72D297353CC}">
              <c16:uniqueId val="{0000000B-5691-4DC7-9336-D1A74F8AF084}"/>
            </c:ext>
          </c:extLst>
        </c:ser>
        <c:ser>
          <c:idx val="12"/>
          <c:order val="12"/>
          <c:tx>
            <c:strRef>
              <c:f>'CCMU Migração Curricular'!$AE$1:$AE$3</c:f>
              <c:strCache>
                <c:ptCount val="3"/>
                <c:pt idx="0">
                  <c:v>UNIVERSIDADE FEDERAL DO MARANHÃO
CENTRO DE CIÊNCIAS HUMANAS — CCH
CURSO DE MÚSICA LICENCIATURA EM SÃO LUÍS
PLANILHA PARA MIGRAÇÃO CURRICULAR</c:v>
                </c:pt>
                <c:pt idx="1">
                  <c:v>2029/2</c:v>
                </c:pt>
                <c:pt idx="2">
                  <c:v>Não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'CCMU Migração Curricular'!$A$4:$R$78</c:f>
              <c:multiLvlStrCache>
                <c:ptCount val="150"/>
                <c:lvl>
                  <c:pt idx="0">
                    <c:v>Cursada</c:v>
                  </c:pt>
                  <c:pt idx="75">
                    <c:v>Disciplina equivalente cursada</c:v>
                  </c:pt>
                  <c:pt idx="130">
                    <c:v>Optativas I a IV</c:v>
                  </c:pt>
                  <c:pt idx="131">
                    <c:v>Atividades Complementares</c:v>
                  </c:pt>
                  <c:pt idx="132">
                    <c:v>Unidade Curricular de Extensão</c:v>
                  </c:pt>
                  <c:pt idx="149">
                    <c:v>Carga horária total de optativas: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3</c:v>
                  </c:pt>
                  <c:pt idx="68">
                    <c:v>3</c:v>
                  </c:pt>
                  <c:pt idx="69">
                    <c:v>3</c:v>
                  </c:pt>
                  <c:pt idx="75">
                    <c:v>Código</c:v>
                  </c:pt>
                  <c:pt idx="130">
                    <c:v>-</c:v>
                  </c:pt>
                  <c:pt idx="131">
                    <c:v>DMUS0210</c:v>
                  </c:pt>
                  <c:pt idx="132">
                    <c:v>DMUS0234</c:v>
                  </c:pt>
                </c:lvl>
                <c:lvl>
                  <c:pt idx="0">
                    <c:v>CP</c:v>
                  </c:pt>
                  <c:pt idx="1">
                    <c:v>2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2</c:v>
                  </c:pt>
                  <c:pt idx="19">
                    <c:v>0</c:v>
                  </c:pt>
                  <c:pt idx="22">
                    <c:v>1</c:v>
                  </c:pt>
                  <c:pt idx="23">
                    <c:v>1</c:v>
                  </c:pt>
                  <c:pt idx="24">
                    <c:v>2</c:v>
                  </c:pt>
                  <c:pt idx="25">
                    <c:v>2</c:v>
                  </c:pt>
                  <c:pt idx="26">
                    <c:v>0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0</c:v>
                  </c:pt>
                  <c:pt idx="36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0</c:v>
                  </c:pt>
                  <c:pt idx="41">
                    <c:v>2</c:v>
                  </c:pt>
                  <c:pt idx="43">
                    <c:v>2</c:v>
                  </c:pt>
                  <c:pt idx="44">
                    <c:v>2</c:v>
                  </c:pt>
                  <c:pt idx="45">
                    <c:v>2</c:v>
                  </c:pt>
                  <c:pt idx="46">
                    <c:v>0</c:v>
                  </c:pt>
                  <c:pt idx="47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0</c:v>
                  </c:pt>
                  <c:pt idx="54">
                    <c:v>2</c:v>
                  </c:pt>
                  <c:pt idx="56">
                    <c:v>-</c:v>
                  </c:pt>
                  <c:pt idx="58">
                    <c:v>2</c:v>
                  </c:pt>
                  <c:pt idx="59">
                    <c:v>2</c:v>
                  </c:pt>
                  <c:pt idx="60">
                    <c:v>0</c:v>
                  </c:pt>
                  <c:pt idx="61">
                    <c:v>2</c:v>
                  </c:pt>
                  <c:pt idx="62">
                    <c:v>2</c:v>
                  </c:pt>
                  <c:pt idx="63">
                    <c:v>2</c:v>
                  </c:pt>
                  <c:pt idx="64">
                    <c:v>2</c:v>
                  </c:pt>
                  <c:pt idx="65">
                    <c:v>0</c:v>
                  </c:pt>
                  <c:pt idx="66">
                    <c:v>0</c:v>
                  </c:pt>
                  <c:pt idx="67">
                    <c:v>2</c:v>
                  </c:pt>
                  <c:pt idx="68">
                    <c:v>0</c:v>
                  </c:pt>
                  <c:pt idx="69">
                    <c:v>0</c:v>
                  </c:pt>
                  <c:pt idx="75">
                    <c:v>Per.</c:v>
                  </c:pt>
                  <c:pt idx="76">
                    <c:v>1</c:v>
                  </c:pt>
                  <c:pt idx="82">
                    <c:v>2</c:v>
                  </c:pt>
                  <c:pt idx="88">
                    <c:v>3</c:v>
                  </c:pt>
                  <c:pt idx="95">
                    <c:v>4</c:v>
                  </c:pt>
                  <c:pt idx="103">
                    <c:v>5</c:v>
                  </c:pt>
                  <c:pt idx="111">
                    <c:v>6</c:v>
                  </c:pt>
                  <c:pt idx="118">
                    <c:v>7</c:v>
                  </c:pt>
                  <c:pt idx="124">
                    <c:v>8</c:v>
                  </c:pt>
                  <c:pt idx="130">
                    <c:v>-</c:v>
                  </c:pt>
                  <c:pt idx="133">
                    <c:v>OPTATIVAS</c:v>
                  </c:pt>
                </c:lvl>
                <c:lvl>
                  <c:pt idx="0">
                    <c:v>CT</c:v>
                  </c:pt>
                  <c:pt idx="1">
                    <c:v>0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7">
                    <c:v>4</c:v>
                  </c:pt>
                  <c:pt idx="8">
                    <c:v>4</c:v>
                  </c:pt>
                  <c:pt idx="10">
                    <c:v>0</c:v>
                  </c:pt>
                  <c:pt idx="16">
                    <c:v>2</c:v>
                  </c:pt>
                  <c:pt idx="17">
                    <c:v>0</c:v>
                  </c:pt>
                  <c:pt idx="18">
                    <c:v>0</c:v>
                  </c:pt>
                  <c:pt idx="19">
                    <c:v>4</c:v>
                  </c:pt>
                  <c:pt idx="22">
                    <c:v>0</c:v>
                  </c:pt>
                  <c:pt idx="23">
                    <c:v>2</c:v>
                  </c:pt>
                  <c:pt idx="24">
                    <c:v>0</c:v>
                  </c:pt>
                  <c:pt idx="25">
                    <c:v>0</c:v>
                  </c:pt>
                  <c:pt idx="26">
                    <c:v>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4</c:v>
                  </c:pt>
                  <c:pt idx="36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2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</c:v>
                  </c:pt>
                  <c:pt idx="47">
                    <c:v>4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59">
                    <c:v>0</c:v>
                  </c:pt>
                  <c:pt idx="60">
                    <c:v>4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2">
                    <c:v>30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3">
                    <c:v>60</c:v>
                  </c:pt>
                  <c:pt idx="34">
                    <c:v>60</c:v>
                  </c:pt>
                  <c:pt idx="36">
                    <c:v>60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1">
                    <c:v>60</c:v>
                  </c:pt>
                  <c:pt idx="43">
                    <c:v>60</c:v>
                  </c:pt>
                  <c:pt idx="44">
                    <c:v>60</c:v>
                  </c:pt>
                  <c:pt idx="45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4">
                    <c:v>60</c:v>
                  </c:pt>
                  <c:pt idx="56">
                    <c:v>240</c:v>
                  </c:pt>
                  <c:pt idx="58">
                    <c:v>60</c:v>
                  </c:pt>
                  <c:pt idx="59">
                    <c:v>60</c:v>
                  </c:pt>
                  <c:pt idx="60">
                    <c:v>60</c:v>
                  </c:pt>
                  <c:pt idx="61">
                    <c:v>60</c:v>
                  </c:pt>
                  <c:pt idx="62">
                    <c:v>60</c:v>
                  </c:pt>
                  <c:pt idx="63">
                    <c:v>60</c:v>
                  </c:pt>
                  <c:pt idx="64">
                    <c:v>60</c:v>
                  </c:pt>
                  <c:pt idx="65">
                    <c:v>60</c:v>
                  </c:pt>
                  <c:pt idx="66">
                    <c:v>135</c:v>
                  </c:pt>
                  <c:pt idx="67">
                    <c:v>60</c:v>
                  </c:pt>
                  <c:pt idx="68">
                    <c:v>135</c:v>
                  </c:pt>
                  <c:pt idx="69">
                    <c:v>135</c:v>
                  </c:pt>
                </c:lvl>
                <c:lvl>
                  <c:pt idx="0">
                    <c:v>Disciplina</c:v>
                  </c:pt>
                  <c:pt idx="1">
                    <c:v>Percepção Musical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7">
                    <c:v>Percepção Musical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2">
                    <c:v>Prática de Flauta Doce em Grupo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</c:v>
                  </c:pt>
                  <c:pt idx="33">
                    <c:v>Metodologia da Pesquisa em Música</c:v>
                  </c:pt>
                  <c:pt idx="34">
                    <c:v>Psicologia da Educação I (MU)</c:v>
                  </c:pt>
                  <c:pt idx="36">
                    <c:v>História da Música Maranhense</c:v>
                  </c:pt>
                  <c:pt idx="38">
                    <c:v>Prática de Regência</c:v>
                  </c:pt>
                  <c:pt idx="39">
                    <c:v>Musicalização III</c:v>
                  </c:pt>
                  <c:pt idx="40">
                    <c:v>Orientação de TCC I</c:v>
                  </c:pt>
                  <c:pt idx="41">
                    <c:v>Expressão Corporal</c:v>
                  </c:pt>
                  <c:pt idx="43">
                    <c:v>Percussão Complementar</c:v>
                  </c:pt>
                  <c:pt idx="44">
                    <c:v>Prática de Conjunto I</c:v>
                  </c:pt>
                  <c:pt idx="45">
                    <c:v>Educação Inclusiva em Música</c:v>
                  </c:pt>
                  <c:pt idx="46">
                    <c:v>Orientação de TCC II</c:v>
                  </c:pt>
                  <c:pt idx="47">
                    <c:v>Filosofia (MU)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Trabalho de Conclusão de Curso</c:v>
                  </c:pt>
                  <c:pt idx="54">
                    <c:v>LIBRAS (MU)</c:v>
                  </c:pt>
                  <c:pt idx="56">
                    <c:v>Atividades Acad. Complementares</c:v>
                  </c:pt>
                  <c:pt idx="58">
                    <c:v>Piano Complementar I</c:v>
                  </c:pt>
                  <c:pt idx="59">
                    <c:v>Estruturação Musical</c:v>
                  </c:pt>
                  <c:pt idx="60">
                    <c:v>Psicologia da Educação II (MU)</c:v>
                  </c:pt>
                  <c:pt idx="61">
                    <c:v>Piano Complementar II</c:v>
                  </c:pt>
                  <c:pt idx="62">
                    <c:v>Violão Complementar I</c:v>
                  </c:pt>
                  <c:pt idx="63">
                    <c:v>Violão Complementar II</c:v>
                  </c:pt>
                  <c:pt idx="64">
                    <c:v>Harmonia Aplicada</c:v>
                  </c:pt>
                  <c:pt idx="65">
                    <c:v>Leitura e Produção Textual em Música</c:v>
                  </c:pt>
                  <c:pt idx="66">
                    <c:v>Estágio Supervisionado I</c:v>
                  </c:pt>
                  <c:pt idx="67">
                    <c:v>Fundamentos de Musicologia</c:v>
                  </c:pt>
                  <c:pt idx="68">
                    <c:v>Estágio Supervisionado II</c:v>
                  </c:pt>
                  <c:pt idx="69">
                    <c:v>Estágio Supervisionado III</c:v>
                  </c:pt>
                </c:lvl>
                <c:lvl>
                  <c:pt idx="0">
                    <c:v>Código</c:v>
                  </c:pt>
                  <c:pt idx="1">
                    <c:v>DMUS0006</c:v>
                  </c:pt>
                  <c:pt idx="2">
                    <c:v>DMUS0008</c:v>
                  </c:pt>
                  <c:pt idx="4">
                    <c:v>DMUS0009</c:v>
                  </c:pt>
                  <c:pt idx="5">
                    <c:v>DEII0148</c:v>
                  </c:pt>
                  <c:pt idx="7">
                    <c:v>DMUS011</c:v>
                  </c:pt>
                  <c:pt idx="8">
                    <c:v>DMUS0013</c:v>
                  </c:pt>
                  <c:pt idx="10">
                    <c:v>DMUS0021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DMUS0007</c:v>
                  </c:pt>
                  <c:pt idx="19">
                    <c:v>DEEI0120</c:v>
                  </c:pt>
                  <c:pt idx="22">
                    <c:v>DMUS0022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DMUS0012</c:v>
                  </c:pt>
                  <c:pt idx="26">
                    <c:v>DEEI0121</c:v>
                  </c:pt>
                  <c:pt idx="31">
                    <c:v>DMUS0020</c:v>
                  </c:pt>
                  <c:pt idx="32">
                    <c:v>DMUS0017</c:v>
                  </c:pt>
                  <c:pt idx="33">
                    <c:v>DMUS0024</c:v>
                  </c:pt>
                  <c:pt idx="34">
                    <c:v>DEII0145</c:v>
                  </c:pt>
                  <c:pt idx="36">
                    <c:v>DMUS0046</c:v>
                  </c:pt>
                  <c:pt idx="38">
                    <c:v>DMUS0027</c:v>
                  </c:pt>
                  <c:pt idx="39">
                    <c:v>DMUS0023</c:v>
                  </c:pt>
                  <c:pt idx="40">
                    <c:v>DMUS0030</c:v>
                  </c:pt>
                  <c:pt idx="41">
                    <c:v>DARC0046</c:v>
                  </c:pt>
                  <c:pt idx="43">
                    <c:v>DMUS0048</c:v>
                  </c:pt>
                  <c:pt idx="44">
                    <c:v>DMUS0026</c:v>
                  </c:pt>
                  <c:pt idx="45">
                    <c:v>DMUS0028</c:v>
                  </c:pt>
                  <c:pt idx="46">
                    <c:v>DMUS0033</c:v>
                  </c:pt>
                  <c:pt idx="47">
                    <c:v>DFIL0005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DMUS0062</c:v>
                  </c:pt>
                  <c:pt idx="54">
                    <c:v>DLER0410</c:v>
                  </c:pt>
                  <c:pt idx="56">
                    <c:v>DMUS0155</c:v>
                  </c:pt>
                  <c:pt idx="58">
                    <c:v>DMUS0002</c:v>
                  </c:pt>
                  <c:pt idx="59">
                    <c:v>DMUS0003</c:v>
                  </c:pt>
                  <c:pt idx="60">
                    <c:v>DEII0146</c:v>
                  </c:pt>
                  <c:pt idx="61">
                    <c:v>DMUS0005</c:v>
                  </c:pt>
                  <c:pt idx="62">
                    <c:v>DMUS0010</c:v>
                  </c:pt>
                  <c:pt idx="63">
                    <c:v>DMUS0015</c:v>
                  </c:pt>
                  <c:pt idx="64">
                    <c:v>DMUS0016</c:v>
                  </c:pt>
                  <c:pt idx="65">
                    <c:v>DMUS0018</c:v>
                  </c:pt>
                  <c:pt idx="66">
                    <c:v>DMUS0025</c:v>
                  </c:pt>
                  <c:pt idx="67">
                    <c:v>DMUS0029</c:v>
                  </c:pt>
                  <c:pt idx="68">
                    <c:v>DMUS0031</c:v>
                  </c:pt>
                  <c:pt idx="69">
                    <c:v>DMUS0034</c:v>
                  </c:pt>
                </c:lvl>
                <c:lvl>
                  <c:pt idx="0">
                    <c:v>Cursada</c:v>
                  </c:pt>
                </c:lvl>
                <c:lvl>
                  <c:pt idx="0">
                    <c:v>CE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31">
                    <c:v>0</c:v>
                  </c:pt>
                  <c:pt idx="32">
                    <c:v>0</c:v>
                  </c:pt>
                  <c:pt idx="34">
                    <c:v>0</c:v>
                  </c:pt>
                  <c:pt idx="35">
                    <c:v>2</c:v>
                  </c:pt>
                  <c:pt idx="38">
                    <c:v>0</c:v>
                  </c:pt>
                  <c:pt idx="39">
                    <c:v>0</c:v>
                  </c:pt>
                  <c:pt idx="40">
                    <c:v>-</c:v>
                  </c:pt>
                  <c:pt idx="42">
                    <c:v>2</c:v>
                  </c:pt>
                  <c:pt idx="44">
                    <c:v>0</c:v>
                  </c:pt>
                  <c:pt idx="46">
                    <c:v>-</c:v>
                  </c:pt>
                  <c:pt idx="47">
                    <c:v>0</c:v>
                  </c:pt>
                  <c:pt idx="48">
                    <c:v>2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2</c:v>
                  </c:pt>
                  <c:pt idx="54">
                    <c:v>0</c:v>
                  </c:pt>
                  <c:pt idx="56">
                    <c:v>-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lvl>
                <c:lvl>
                  <c:pt idx="0">
                    <c:v>CP</c:v>
                  </c:pt>
                  <c:pt idx="1">
                    <c:v>1</c:v>
                  </c:pt>
                  <c:pt idx="2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0</c:v>
                  </c:pt>
                  <c:pt idx="7">
                    <c:v>1</c:v>
                  </c:pt>
                  <c:pt idx="8">
                    <c:v>0</c:v>
                  </c:pt>
                  <c:pt idx="10">
                    <c:v>1</c:v>
                  </c:pt>
                  <c:pt idx="11">
                    <c:v>1</c:v>
                  </c:pt>
                  <c:pt idx="12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0</c:v>
                  </c:pt>
                  <c:pt idx="21">
                    <c:v>0</c:v>
                  </c:pt>
                  <c:pt idx="23">
                    <c:v>1</c:v>
                  </c:pt>
                  <c:pt idx="24">
                    <c:v>2</c:v>
                  </c:pt>
                  <c:pt idx="25">
                    <c:v>1</c:v>
                  </c:pt>
                  <c:pt idx="26">
                    <c:v>0</c:v>
                  </c:pt>
                  <c:pt idx="31">
                    <c:v>1</c:v>
                  </c:pt>
                  <c:pt idx="32">
                    <c:v>1</c:v>
                  </c:pt>
                  <c:pt idx="34">
                    <c:v>0</c:v>
                  </c:pt>
                  <c:pt idx="35">
                    <c:v>0</c:v>
                  </c:pt>
                  <c:pt idx="38">
                    <c:v>1</c:v>
                  </c:pt>
                  <c:pt idx="39">
                    <c:v>1</c:v>
                  </c:pt>
                  <c:pt idx="40">
                    <c:v>-</c:v>
                  </c:pt>
                  <c:pt idx="42">
                    <c:v>0</c:v>
                  </c:pt>
                  <c:pt idx="44">
                    <c:v>2</c:v>
                  </c:pt>
                  <c:pt idx="46">
                    <c:v>-</c:v>
                  </c:pt>
                  <c:pt idx="47">
                    <c:v>0</c:v>
                  </c:pt>
                  <c:pt idx="48">
                    <c:v>0</c:v>
                  </c:pt>
                  <c:pt idx="50">
                    <c:v>2</c:v>
                  </c:pt>
                  <c:pt idx="51">
                    <c:v>2</c:v>
                  </c:pt>
                  <c:pt idx="52">
                    <c:v>-</c:v>
                  </c:pt>
                  <c:pt idx="53">
                    <c:v>0</c:v>
                  </c:pt>
                  <c:pt idx="54">
                    <c:v>0</c:v>
                  </c:pt>
                  <c:pt idx="56">
                    <c:v>-</c:v>
                  </c:pt>
                  <c:pt idx="58">
                    <c:v>1</c:v>
                  </c:pt>
                  <c:pt idx="60">
                    <c:v>0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70">
                    <c:v>0</c:v>
                  </c:pt>
                  <c:pt idx="71">
                    <c:v>1</c:v>
                  </c:pt>
                  <c:pt idx="72">
                    <c:v>2</c:v>
                  </c:pt>
                  <c:pt idx="73">
                    <c:v>1</c:v>
                  </c:pt>
                </c:lvl>
                <c:lvl>
                  <c:pt idx="0">
                    <c:v>CT</c:v>
                  </c:pt>
                  <c:pt idx="1">
                    <c:v>2</c:v>
                  </c:pt>
                  <c:pt idx="2">
                    <c:v>4</c:v>
                  </c:pt>
                  <c:pt idx="4">
                    <c:v>0</c:v>
                  </c:pt>
                  <c:pt idx="5">
                    <c:v>4</c:v>
                  </c:pt>
                  <c:pt idx="6">
                    <c:v>4</c:v>
                  </c:pt>
                  <c:pt idx="7">
                    <c:v>2</c:v>
                  </c:pt>
                  <c:pt idx="8">
                    <c:v>4</c:v>
                  </c:pt>
                  <c:pt idx="10">
                    <c:v>2</c:v>
                  </c:pt>
                  <c:pt idx="11">
                    <c:v>1</c:v>
                  </c:pt>
                  <c:pt idx="12">
                    <c:v>4</c:v>
                  </c:pt>
                  <c:pt idx="16">
                    <c:v>2</c:v>
                  </c:pt>
                  <c:pt idx="17">
                    <c:v>0</c:v>
                  </c:pt>
                  <c:pt idx="18">
                    <c:v>2</c:v>
                  </c:pt>
                  <c:pt idx="19">
                    <c:v>4</c:v>
                  </c:pt>
                  <c:pt idx="21">
                    <c:v>4</c:v>
                  </c:pt>
                  <c:pt idx="23">
                    <c:v>2</c:v>
                  </c:pt>
                  <c:pt idx="24">
                    <c:v>0</c:v>
                  </c:pt>
                  <c:pt idx="25">
                    <c:v>2</c:v>
                  </c:pt>
                  <c:pt idx="26">
                    <c:v>4</c:v>
                  </c:pt>
                  <c:pt idx="31">
                    <c:v>2</c:v>
                  </c:pt>
                  <c:pt idx="32">
                    <c:v>2</c:v>
                  </c:pt>
                  <c:pt idx="34">
                    <c:v>4</c:v>
                  </c:pt>
                  <c:pt idx="35">
                    <c:v>0</c:v>
                  </c:pt>
                  <c:pt idx="38">
                    <c:v>2</c:v>
                  </c:pt>
                  <c:pt idx="39">
                    <c:v>2</c:v>
                  </c:pt>
                  <c:pt idx="40">
                    <c:v>-</c:v>
                  </c:pt>
                  <c:pt idx="42">
                    <c:v>0</c:v>
                  </c:pt>
                  <c:pt idx="44">
                    <c:v>0</c:v>
                  </c:pt>
                  <c:pt idx="46">
                    <c:v>-</c:v>
                  </c:pt>
                  <c:pt idx="47">
                    <c:v>4</c:v>
                  </c:pt>
                  <c:pt idx="4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-</c:v>
                  </c:pt>
                  <c:pt idx="53">
                    <c:v>0</c:v>
                  </c:pt>
                  <c:pt idx="54">
                    <c:v>4</c:v>
                  </c:pt>
                  <c:pt idx="56">
                    <c:v>-</c:v>
                  </c:pt>
                  <c:pt idx="58">
                    <c:v>1</c:v>
                  </c:pt>
                  <c:pt idx="60">
                    <c:v>4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2</c:v>
                  </c:pt>
                  <c:pt idx="70">
                    <c:v>4</c:v>
                  </c:pt>
                  <c:pt idx="71">
                    <c:v>2</c:v>
                  </c:pt>
                  <c:pt idx="72">
                    <c:v>0</c:v>
                  </c:pt>
                  <c:pt idx="73">
                    <c:v>2</c:v>
                  </c:pt>
                </c:lvl>
                <c:lvl>
                  <c:pt idx="0">
                    <c:v>CH</c:v>
                  </c:pt>
                  <c:pt idx="1">
                    <c:v>60</c:v>
                  </c:pt>
                  <c:pt idx="2">
                    <c:v>60</c:v>
                  </c:pt>
                  <c:pt idx="4">
                    <c:v>60</c:v>
                  </c:pt>
                  <c:pt idx="5">
                    <c:v>60</c:v>
                  </c:pt>
                  <c:pt idx="6">
                    <c:v>60</c:v>
                  </c:pt>
                  <c:pt idx="7">
                    <c:v>60</c:v>
                  </c:pt>
                  <c:pt idx="8">
                    <c:v>60</c:v>
                  </c:pt>
                  <c:pt idx="10">
                    <c:v>60</c:v>
                  </c:pt>
                  <c:pt idx="11">
                    <c:v>45</c:v>
                  </c:pt>
                  <c:pt idx="12">
                    <c:v>60</c:v>
                  </c:pt>
                  <c:pt idx="16">
                    <c:v>60</c:v>
                  </c:pt>
                  <c:pt idx="17">
                    <c:v>60</c:v>
                  </c:pt>
                  <c:pt idx="18">
                    <c:v>60</c:v>
                  </c:pt>
                  <c:pt idx="19">
                    <c:v>60</c:v>
                  </c:pt>
                  <c:pt idx="21">
                    <c:v>60</c:v>
                  </c:pt>
                  <c:pt idx="23">
                    <c:v>60</c:v>
                  </c:pt>
                  <c:pt idx="24">
                    <c:v>60</c:v>
                  </c:pt>
                  <c:pt idx="25">
                    <c:v>60</c:v>
                  </c:pt>
                  <c:pt idx="26">
                    <c:v>60</c:v>
                  </c:pt>
                  <c:pt idx="31">
                    <c:v>60</c:v>
                  </c:pt>
                  <c:pt idx="32">
                    <c:v>60</c:v>
                  </c:pt>
                  <c:pt idx="34">
                    <c:v>60</c:v>
                  </c:pt>
                  <c:pt idx="35">
                    <c:v>90</c:v>
                  </c:pt>
                  <c:pt idx="38">
                    <c:v>60</c:v>
                  </c:pt>
                  <c:pt idx="39">
                    <c:v>60</c:v>
                  </c:pt>
                  <c:pt idx="40">
                    <c:v>30</c:v>
                  </c:pt>
                  <c:pt idx="42">
                    <c:v>90</c:v>
                  </c:pt>
                  <c:pt idx="44">
                    <c:v>60</c:v>
                  </c:pt>
                  <c:pt idx="46">
                    <c:v>30</c:v>
                  </c:pt>
                  <c:pt idx="47">
                    <c:v>60</c:v>
                  </c:pt>
                  <c:pt idx="48">
                    <c:v>90</c:v>
                  </c:pt>
                  <c:pt idx="50">
                    <c:v>60</c:v>
                  </c:pt>
                  <c:pt idx="51">
                    <c:v>60</c:v>
                  </c:pt>
                  <c:pt idx="52">
                    <c:v>0</c:v>
                  </c:pt>
                  <c:pt idx="53">
                    <c:v>90</c:v>
                  </c:pt>
                  <c:pt idx="54">
                    <c:v>60</c:v>
                  </c:pt>
                  <c:pt idx="56">
                    <c:v>210</c:v>
                  </c:pt>
                  <c:pt idx="58">
                    <c:v>45</c:v>
                  </c:pt>
                  <c:pt idx="60">
                    <c:v>60</c:v>
                  </c:pt>
                  <c:pt idx="61">
                    <c:v>45</c:v>
                  </c:pt>
                  <c:pt idx="62">
                    <c:v>45</c:v>
                  </c:pt>
                  <c:pt idx="63">
                    <c:v>45</c:v>
                  </c:pt>
                  <c:pt idx="64">
                    <c:v>60</c:v>
                  </c:pt>
                  <c:pt idx="70">
                    <c:v>60</c:v>
                  </c:pt>
                  <c:pt idx="71">
                    <c:v>60</c:v>
                  </c:pt>
                  <c:pt idx="72">
                    <c:v>60</c:v>
                  </c:pt>
                  <c:pt idx="73">
                    <c:v>60</c:v>
                  </c:pt>
                </c:lvl>
                <c:lvl>
                  <c:pt idx="0">
                    <c:v>Disciplina</c:v>
                  </c:pt>
                  <c:pt idx="1">
                    <c:v>Percepção I</c:v>
                  </c:pt>
                  <c:pt idx="2">
                    <c:v>História da Música I</c:v>
                  </c:pt>
                  <c:pt idx="4">
                    <c:v>Laboratório de Criação Musical I</c:v>
                  </c:pt>
                  <c:pt idx="5">
                    <c:v>Organização da Educação Brasileira</c:v>
                  </c:pt>
                  <c:pt idx="6">
                    <c:v>Metodologia do Trabalho Científico</c:v>
                  </c:pt>
                  <c:pt idx="7">
                    <c:v>Percepção II</c:v>
                  </c:pt>
                  <c:pt idx="8">
                    <c:v>História da Música II</c:v>
                  </c:pt>
                  <c:pt idx="10">
                    <c:v>Harmonia e Análise I</c:v>
                  </c:pt>
                  <c:pt idx="11">
                    <c:v>Técnica de Expressão Vocal</c:v>
                  </c:pt>
                  <c:pt idx="12">
                    <c:v>Fundamentos da Arte na Educação</c:v>
                  </c:pt>
                  <c:pt idx="16">
                    <c:v>Harmonia e Análise II</c:v>
                  </c:pt>
                  <c:pt idx="17">
                    <c:v>Prática Coral I</c:v>
                  </c:pt>
                  <c:pt idx="18">
                    <c:v>Metodologia do Ensino da Música</c:v>
                  </c:pt>
                  <c:pt idx="19">
                    <c:v>Didática I (MU)</c:v>
                  </c:pt>
                  <c:pt idx="21">
                    <c:v>História da Música Brasileira</c:v>
                  </c:pt>
                  <c:pt idx="23">
                    <c:v>Harmonia e Análise III</c:v>
                  </c:pt>
                  <c:pt idx="24">
                    <c:v>Prática Coral II</c:v>
                  </c:pt>
                  <c:pt idx="25">
                    <c:v>Musicalização I - Educação Infantil</c:v>
                  </c:pt>
                  <c:pt idx="26">
                    <c:v>Didática II (MU)</c:v>
                  </c:pt>
                  <c:pt idx="31">
                    <c:v>Iniciação à Regência e Organologia</c:v>
                  </c:pt>
                  <c:pt idx="32">
                    <c:v>Musicalização II - Ensino Fundamental</c:v>
                  </c:pt>
                  <c:pt idx="34">
                    <c:v>Psicologia da Educação I (MU)</c:v>
                  </c:pt>
                  <c:pt idx="35">
                    <c:v>Estágio Superv. I - Educação Infantil</c:v>
                  </c:pt>
                  <c:pt idx="38">
                    <c:v>Regência Coral</c:v>
                  </c:pt>
                  <c:pt idx="39">
                    <c:v>Musicalização III - Ensino Médio</c:v>
                  </c:pt>
                  <c:pt idx="40">
                    <c:v>Orientação de Monografia I</c:v>
                  </c:pt>
                  <c:pt idx="42">
                    <c:v>Estágio Superv. II - Ensino Fundamental</c:v>
                  </c:pt>
                  <c:pt idx="44">
                    <c:v>Prática de Conjunto I</c:v>
                  </c:pt>
                  <c:pt idx="46">
                    <c:v>Orientação de Monografia II</c:v>
                  </c:pt>
                  <c:pt idx="47">
                    <c:v>Filosofia (MU)</c:v>
                  </c:pt>
                  <c:pt idx="48">
                    <c:v>Estágio Superv. III - Ensino Médio</c:v>
                  </c:pt>
                  <c:pt idx="50">
                    <c:v>Prática de Conjunto II</c:v>
                  </c:pt>
                  <c:pt idx="51">
                    <c:v>Laboratório de Criação Musical II</c:v>
                  </c:pt>
                  <c:pt idx="52">
                    <c:v>Monografia</c:v>
                  </c:pt>
                  <c:pt idx="53">
                    <c:v>Estágio Superv. IV - Ensino Informal</c:v>
                  </c:pt>
                  <c:pt idx="54">
                    <c:v>LIBRAS (MU)</c:v>
                  </c:pt>
                  <c:pt idx="56">
                    <c:v>Atividades Complementares</c:v>
                  </c:pt>
                  <c:pt idx="58">
                    <c:v>Instrumento Auxiliar - Piano I</c:v>
                  </c:pt>
                  <c:pt idx="60">
                    <c:v>Psicologia da Educação II (MU)</c:v>
                  </c:pt>
                  <c:pt idx="61">
                    <c:v>Instrumento Auxiliar - Piano II</c:v>
                  </c:pt>
                  <c:pt idx="62">
                    <c:v>Instrumento Auxiliar - Violão I</c:v>
                  </c:pt>
                  <c:pt idx="63">
                    <c:v>Instrumento Auxiliar - Violão II</c:v>
                  </c:pt>
                  <c:pt idx="64">
                    <c:v>Harmonia Aplicada</c:v>
                  </c:pt>
                  <c:pt idx="70">
                    <c:v>Antropologia Cultural</c:v>
                  </c:pt>
                  <c:pt idx="71">
                    <c:v>Musicalização IV - Ensino Informal</c:v>
                  </c:pt>
                  <c:pt idx="72">
                    <c:v>Prática de Conjunto III</c:v>
                  </c:pt>
                  <c:pt idx="73">
                    <c:v>Regência Orquestral</c:v>
                  </c:pt>
                </c:lvl>
                <c:lvl>
                  <c:pt idx="0">
                    <c:v>Código</c:v>
                  </c:pt>
                  <c:pt idx="1">
                    <c:v>DMUS0063</c:v>
                  </c:pt>
                  <c:pt idx="2">
                    <c:v>DMUS0065</c:v>
                  </c:pt>
                  <c:pt idx="4">
                    <c:v>DMUS0009</c:v>
                  </c:pt>
                  <c:pt idx="5">
                    <c:v>DEII0148</c:v>
                  </c:pt>
                  <c:pt idx="6">
                    <c:v>DEPB0056</c:v>
                  </c:pt>
                  <c:pt idx="7">
                    <c:v>DMUS0068</c:v>
                  </c:pt>
                  <c:pt idx="8">
                    <c:v>DMUS0070</c:v>
                  </c:pt>
                  <c:pt idx="10">
                    <c:v>DMUS0072</c:v>
                  </c:pt>
                  <c:pt idx="11">
                    <c:v>DMUS0070</c:v>
                  </c:pt>
                  <c:pt idx="12">
                    <c:v>DMUS0102</c:v>
                  </c:pt>
                  <c:pt idx="16">
                    <c:v>DMUS0037</c:v>
                  </c:pt>
                  <c:pt idx="17">
                    <c:v>DMUS0001</c:v>
                  </c:pt>
                  <c:pt idx="18">
                    <c:v>DMUS0073</c:v>
                  </c:pt>
                  <c:pt idx="19">
                    <c:v>DEEI0120</c:v>
                  </c:pt>
                  <c:pt idx="21">
                    <c:v>DMUS0019</c:v>
                  </c:pt>
                  <c:pt idx="23">
                    <c:v>DMUS0038</c:v>
                  </c:pt>
                  <c:pt idx="24">
                    <c:v>DMUS0004</c:v>
                  </c:pt>
                  <c:pt idx="25">
                    <c:v>DMUS0066</c:v>
                  </c:pt>
                  <c:pt idx="26">
                    <c:v>DEEI0121</c:v>
                  </c:pt>
                  <c:pt idx="31">
                    <c:v>DMUS0078</c:v>
                  </c:pt>
                  <c:pt idx="32">
                    <c:v>DMUS0071</c:v>
                  </c:pt>
                  <c:pt idx="34">
                    <c:v>DEII0145</c:v>
                  </c:pt>
                  <c:pt idx="35">
                    <c:v>DMUS0080</c:v>
                  </c:pt>
                  <c:pt idx="38">
                    <c:v>DMUS0081</c:v>
                  </c:pt>
                  <c:pt idx="39">
                    <c:v>DMUS0074</c:v>
                  </c:pt>
                  <c:pt idx="40">
                    <c:v>DMUS0083</c:v>
                  </c:pt>
                  <c:pt idx="42">
                    <c:v>DMUS0084</c:v>
                  </c:pt>
                  <c:pt idx="44">
                    <c:v>DMUS0026</c:v>
                  </c:pt>
                  <c:pt idx="46">
                    <c:v>DMUS0086</c:v>
                  </c:pt>
                  <c:pt idx="47">
                    <c:v>DFIL0005</c:v>
                  </c:pt>
                  <c:pt idx="48">
                    <c:v>DMUS0087</c:v>
                  </c:pt>
                  <c:pt idx="50">
                    <c:v>DMUS0032</c:v>
                  </c:pt>
                  <c:pt idx="51">
                    <c:v>DMUS0014</c:v>
                  </c:pt>
                  <c:pt idx="52">
                    <c:v>DMUS0090</c:v>
                  </c:pt>
                  <c:pt idx="53">
                    <c:v>DMUS0091</c:v>
                  </c:pt>
                  <c:pt idx="54">
                    <c:v>DLER0307</c:v>
                  </c:pt>
                  <c:pt idx="56">
                    <c:v>DMUS0092</c:v>
                  </c:pt>
                  <c:pt idx="58">
                    <c:v>DMUS0064</c:v>
                  </c:pt>
                  <c:pt idx="60">
                    <c:v>DEII0146</c:v>
                  </c:pt>
                  <c:pt idx="61">
                    <c:v>DMUS0067</c:v>
                  </c:pt>
                  <c:pt idx="62">
                    <c:v>DMUS0072</c:v>
                  </c:pt>
                  <c:pt idx="63">
                    <c:v>DMUS0076</c:v>
                  </c:pt>
                  <c:pt idx="64">
                    <c:v>DMUS0082</c:v>
                  </c:pt>
                  <c:pt idx="70">
                    <c:v>DSOC0184</c:v>
                  </c:pt>
                  <c:pt idx="71">
                    <c:v>DMUS0077</c:v>
                  </c:pt>
                  <c:pt idx="72">
                    <c:v>DMUS0079</c:v>
                  </c:pt>
                  <c:pt idx="73">
                    <c:v>DMUS0085</c:v>
                  </c:pt>
                </c:lvl>
              </c:multiLvlStrCache>
            </c:multiLvlStrRef>
          </c:cat>
          <c:val>
            <c:numRef>
              <c:f>'CCMU Migração Curricular'!$AE$4:$AE$78</c:f>
              <c:numCache>
                <c:formatCode>General</c:formatCode>
                <c:ptCount val="75"/>
              </c:numCache>
            </c:numRef>
          </c:val>
          <c:extLst>
            <c:ext xmlns:c16="http://schemas.microsoft.com/office/drawing/2014/chart" uri="{C3380CC4-5D6E-409C-BE32-E72D297353CC}">
              <c16:uniqueId val="{0000000C-5691-4DC7-9336-D1A74F8AF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1170208"/>
        <c:axId val="74853456"/>
      </c:barChart>
      <c:catAx>
        <c:axId val="191117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853456"/>
        <c:crosses val="autoZero"/>
        <c:auto val="1"/>
        <c:lblAlgn val="ctr"/>
        <c:lblOffset val="100"/>
        <c:noMultiLvlLbl val="0"/>
      </c:catAx>
      <c:valAx>
        <c:axId val="748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117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E99F1C-6583-4E51-8BD2-765081036E27}">
  <sheetPr/>
  <sheetViews>
    <sheetView zoomScale="7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4603" cy="600205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F516FF-92D0-F466-EE6C-CBB3187049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1769746</xdr:colOff>
      <xdr:row>0</xdr:row>
      <xdr:rowOff>15240</xdr:rowOff>
    </xdr:from>
    <xdr:to>
      <xdr:col>9</xdr:col>
      <xdr:colOff>3638</xdr:colOff>
      <xdr:row>0</xdr:row>
      <xdr:rowOff>565150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CCE389D-2F78-4676-83C1-04912C3C4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79946" y="15240"/>
          <a:ext cx="548467" cy="549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2717644</xdr:colOff>
      <xdr:row>0</xdr:row>
      <xdr:rowOff>295911</xdr:rowOff>
    </xdr:from>
    <xdr:to>
      <xdr:col>10</xdr:col>
      <xdr:colOff>189363</xdr:colOff>
      <xdr:row>0</xdr:row>
      <xdr:rowOff>295911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09C8FEF0-72CD-4136-96E7-40755E6215CD}"/>
            </a:ext>
          </a:extLst>
        </xdr:cNvPr>
        <xdr:cNvCxnSpPr/>
      </xdr:nvCxnSpPr>
      <xdr:spPr>
        <a:xfrm>
          <a:off x="8607904" y="295911"/>
          <a:ext cx="503555" cy="0"/>
        </a:xfrm>
        <a:prstGeom prst="line">
          <a:avLst/>
        </a:prstGeom>
        <a:ln w="19050">
          <a:solidFill>
            <a:srgbClr val="D2AF7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33080</xdr:colOff>
      <xdr:row>0</xdr:row>
      <xdr:rowOff>130098</xdr:rowOff>
    </xdr:from>
    <xdr:to>
      <xdr:col>10</xdr:col>
      <xdr:colOff>153731</xdr:colOff>
      <xdr:row>0</xdr:row>
      <xdr:rowOff>304723</xdr:rowOff>
    </xdr:to>
    <xdr:sp macro="" textlink="">
      <xdr:nvSpPr>
        <xdr:cNvPr id="6" name="Caixa de Texto 2">
          <a:extLst>
            <a:ext uri="{FF2B5EF4-FFF2-40B4-BE49-F238E27FC236}">
              <a16:creationId xmlns:a16="http://schemas.microsoft.com/office/drawing/2014/main" id="{13D67720-8BBE-442B-B9B7-C9ED0A4D1F75}"/>
            </a:ext>
          </a:extLst>
        </xdr:cNvPr>
        <xdr:cNvSpPr txBox="1">
          <a:spLocks noChangeArrowheads="1"/>
        </xdr:cNvSpPr>
      </xdr:nvSpPr>
      <xdr:spPr bwMode="auto">
        <a:xfrm>
          <a:off x="8719880" y="130098"/>
          <a:ext cx="425450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 algn="ctr">
            <a:tabLst>
              <a:tab pos="540385" algn="l"/>
              <a:tab pos="2700020" algn="ctr"/>
              <a:tab pos="5400040" algn="r"/>
            </a:tabLst>
          </a:pPr>
          <a:r>
            <a:rPr lang="pt-BR" sz="1200" b="1">
              <a:solidFill>
                <a:srgbClr val="1F3864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Calibri" panose="020F0502020204030204" pitchFamily="34" charset="0"/>
            </a:rPr>
            <a:t>CCMU</a:t>
          </a:r>
          <a:endParaRPr lang="pt-BR" sz="12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E3E1-864B-41A8-B571-14243EEC62F1}">
  <dimension ref="A1:AE78"/>
  <sheetViews>
    <sheetView showGridLines="0" tabSelected="1" zoomScale="70" zoomScaleNormal="70" workbookViewId="0">
      <selection sqref="A1:AC1"/>
    </sheetView>
  </sheetViews>
  <sheetFormatPr defaultRowHeight="14.4" x14ac:dyDescent="0.3"/>
  <cols>
    <col min="1" max="1" width="9.77734375" customWidth="1"/>
    <col min="2" max="2" width="33.77734375" customWidth="1"/>
    <col min="3" max="6" width="4.44140625" customWidth="1"/>
    <col min="7" max="7" width="7.77734375" bestFit="1" customWidth="1"/>
    <col min="8" max="8" width="9.77734375" customWidth="1"/>
    <col min="9" max="9" width="33.77734375" customWidth="1"/>
    <col min="10" max="13" width="4.44140625" customWidth="1"/>
    <col min="14" max="14" width="7.77734375" bestFit="1" customWidth="1"/>
    <col min="15" max="15" width="7.77734375" hidden="1" customWidth="1"/>
    <col min="16" max="16" width="4.33203125" bestFit="1" customWidth="1"/>
    <col min="17" max="17" width="9.77734375" customWidth="1"/>
    <col min="18" max="18" width="39.77734375" customWidth="1"/>
    <col min="19" max="23" width="5.5546875" customWidth="1"/>
    <col min="24" max="24" width="5.5546875" hidden="1" customWidth="1"/>
    <col min="25" max="25" width="5.77734375" customWidth="1"/>
    <col min="26" max="26" width="9.77734375" customWidth="1"/>
    <col min="27" max="27" width="39.77734375" customWidth="1"/>
    <col min="28" max="28" width="8.77734375" customWidth="1"/>
    <col min="29" max="29" width="10.77734375" customWidth="1"/>
  </cols>
  <sheetData>
    <row r="1" spans="1:31" ht="79.95" customHeight="1" x14ac:dyDescent="0.3">
      <c r="A1" s="72" t="s">
        <v>180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31" ht="28.8" customHeight="1" thickBot="1" x14ac:dyDescent="0.35">
      <c r="A2" s="7" t="s">
        <v>174</v>
      </c>
      <c r="B2" s="18" t="s">
        <v>188</v>
      </c>
      <c r="C2" s="74" t="s">
        <v>175</v>
      </c>
      <c r="D2" s="74"/>
      <c r="E2" s="83" t="s">
        <v>189</v>
      </c>
      <c r="F2" s="83"/>
      <c r="G2" s="83"/>
      <c r="H2" s="7" t="s">
        <v>177</v>
      </c>
      <c r="I2" s="18" t="s">
        <v>181</v>
      </c>
      <c r="J2" s="82" t="s">
        <v>176</v>
      </c>
      <c r="K2" s="82"/>
      <c r="L2" s="75" t="s">
        <v>182</v>
      </c>
      <c r="M2" s="75"/>
      <c r="N2" s="82" t="s">
        <v>178</v>
      </c>
      <c r="O2" s="82"/>
      <c r="P2" s="82"/>
      <c r="Q2" s="18" t="s">
        <v>183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1" x14ac:dyDescent="0.3">
      <c r="A3" s="76" t="s">
        <v>7</v>
      </c>
      <c r="B3" s="77"/>
      <c r="C3" s="77"/>
      <c r="D3" s="77"/>
      <c r="E3" s="77"/>
      <c r="F3" s="77"/>
      <c r="G3" s="78"/>
      <c r="H3" s="76" t="s">
        <v>8</v>
      </c>
      <c r="I3" s="77"/>
      <c r="J3" s="77"/>
      <c r="K3" s="77"/>
      <c r="L3" s="77"/>
      <c r="M3" s="77"/>
      <c r="N3" s="78"/>
      <c r="O3" s="6"/>
      <c r="P3" s="79" t="s">
        <v>173</v>
      </c>
      <c r="Q3" s="80"/>
      <c r="R3" s="80"/>
      <c r="S3" s="80"/>
      <c r="T3" s="80"/>
      <c r="U3" s="80"/>
      <c r="V3" s="80"/>
      <c r="W3" s="80"/>
      <c r="X3" s="80"/>
      <c r="Y3" s="81"/>
      <c r="Z3" s="61" t="s">
        <v>179</v>
      </c>
      <c r="AA3" s="62"/>
      <c r="AB3" s="62"/>
      <c r="AC3" s="63"/>
      <c r="AD3" s="4" t="s">
        <v>133</v>
      </c>
      <c r="AE3" s="4" t="s">
        <v>134</v>
      </c>
    </row>
    <row r="4" spans="1:31" x14ac:dyDescent="0.3">
      <c r="A4" s="8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9" t="s">
        <v>132</v>
      </c>
      <c r="H4" s="8" t="s">
        <v>0</v>
      </c>
      <c r="I4" s="5" t="s">
        <v>1</v>
      </c>
      <c r="J4" s="5" t="s">
        <v>2</v>
      </c>
      <c r="K4" s="5" t="s">
        <v>3</v>
      </c>
      <c r="L4" s="5" t="s">
        <v>4</v>
      </c>
      <c r="M4" s="5" t="s">
        <v>5</v>
      </c>
      <c r="N4" s="9" t="s">
        <v>132</v>
      </c>
      <c r="O4" s="14" t="s">
        <v>170</v>
      </c>
      <c r="P4" s="27" t="s">
        <v>172</v>
      </c>
      <c r="Q4" s="28" t="s">
        <v>0</v>
      </c>
      <c r="R4" s="28" t="s">
        <v>171</v>
      </c>
      <c r="S4" s="28" t="s">
        <v>2</v>
      </c>
      <c r="T4" s="28" t="s">
        <v>3</v>
      </c>
      <c r="U4" s="28" t="s">
        <v>4</v>
      </c>
      <c r="V4" s="28" t="s">
        <v>5</v>
      </c>
      <c r="W4" s="28" t="s">
        <v>15</v>
      </c>
      <c r="X4" s="28" t="s">
        <v>6</v>
      </c>
      <c r="Y4" s="29" t="s">
        <v>185</v>
      </c>
      <c r="Z4" s="8" t="s">
        <v>0</v>
      </c>
      <c r="AA4" s="5" t="s">
        <v>1</v>
      </c>
      <c r="AB4" s="5" t="s">
        <v>28</v>
      </c>
      <c r="AC4" s="9" t="s">
        <v>29</v>
      </c>
    </row>
    <row r="5" spans="1:31" x14ac:dyDescent="0.3">
      <c r="A5" s="10" t="s">
        <v>113</v>
      </c>
      <c r="B5" s="1" t="s">
        <v>112</v>
      </c>
      <c r="C5" s="2">
        <f t="shared" ref="C5:C36" si="0">($D5*15)+($E5*30)+($F5*45)</f>
        <v>60</v>
      </c>
      <c r="D5" s="2">
        <v>2</v>
      </c>
      <c r="E5" s="2">
        <v>1</v>
      </c>
      <c r="F5" s="2">
        <v>0</v>
      </c>
      <c r="G5" s="19"/>
      <c r="H5" s="10" t="s">
        <v>50</v>
      </c>
      <c r="I5" s="1" t="s">
        <v>48</v>
      </c>
      <c r="J5" s="2">
        <f t="shared" ref="J5:J36" si="1">($K5*15)+($L5*30)+($M5*45)</f>
        <v>60</v>
      </c>
      <c r="K5" s="2">
        <v>0</v>
      </c>
      <c r="L5" s="2">
        <v>2</v>
      </c>
      <c r="M5" s="2">
        <v>0</v>
      </c>
      <c r="N5" s="19"/>
      <c r="O5" s="15" t="str">
        <f t="shared" ref="O5:O36" si="2">IF($G5="Sim",1,IF($N5="Sim",1,""))</f>
        <v/>
      </c>
      <c r="P5" s="64">
        <v>1</v>
      </c>
      <c r="Q5" s="42" t="str">
        <f>IF($O5="","","DMUS0163")</f>
        <v/>
      </c>
      <c r="R5" s="32" t="str">
        <f>IF($O5="","","Teoria e Percepção Musical I")</f>
        <v/>
      </c>
      <c r="S5" s="33">
        <f t="shared" ref="S5:S36" si="3">($T5*15)+($U5*30)+($V5*45)+($W5*15)</f>
        <v>60</v>
      </c>
      <c r="T5" s="33">
        <v>2</v>
      </c>
      <c r="U5" s="33">
        <v>1</v>
      </c>
      <c r="V5" s="33">
        <v>0</v>
      </c>
      <c r="W5" s="33">
        <v>0</v>
      </c>
      <c r="X5" s="33"/>
      <c r="Y5" s="37" t="str">
        <f>IF($O5=1,0,"")</f>
        <v/>
      </c>
      <c r="Z5" s="22" t="str">
        <f t="shared" ref="Z5:Z36" si="4">IF($R5="","",$Q5)</f>
        <v/>
      </c>
      <c r="AA5" s="3" t="str">
        <f t="shared" ref="AA5:AA36" si="5">IF($R5="","",$R5)</f>
        <v/>
      </c>
      <c r="AB5" s="58"/>
      <c r="AC5" s="59"/>
    </row>
    <row r="6" spans="1:31" x14ac:dyDescent="0.3">
      <c r="A6" s="10" t="s">
        <v>116</v>
      </c>
      <c r="B6" s="1" t="s">
        <v>9</v>
      </c>
      <c r="C6" s="2">
        <f t="shared" si="0"/>
        <v>60</v>
      </c>
      <c r="D6" s="2">
        <v>4</v>
      </c>
      <c r="E6" s="2">
        <v>0</v>
      </c>
      <c r="F6" s="2">
        <v>0</v>
      </c>
      <c r="G6" s="19"/>
      <c r="H6" s="10" t="s">
        <v>55</v>
      </c>
      <c r="I6" s="1" t="s">
        <v>9</v>
      </c>
      <c r="J6" s="2">
        <f t="shared" si="1"/>
        <v>60</v>
      </c>
      <c r="K6" s="2">
        <v>4</v>
      </c>
      <c r="L6" s="2">
        <v>0</v>
      </c>
      <c r="M6" s="2">
        <v>0</v>
      </c>
      <c r="N6" s="19"/>
      <c r="O6" s="15" t="str">
        <f t="shared" si="2"/>
        <v/>
      </c>
      <c r="P6" s="65"/>
      <c r="Q6" s="43" t="str">
        <f>IF($O6="","","DMUS0164")</f>
        <v/>
      </c>
      <c r="R6" s="3" t="str">
        <f>IF($O6="","","História da Música I")</f>
        <v/>
      </c>
      <c r="S6" s="2">
        <f t="shared" si="3"/>
        <v>45</v>
      </c>
      <c r="T6" s="2">
        <v>3</v>
      </c>
      <c r="U6" s="2">
        <v>0</v>
      </c>
      <c r="V6" s="2">
        <v>0</v>
      </c>
      <c r="W6" s="2">
        <v>0</v>
      </c>
      <c r="X6" s="2"/>
      <c r="Y6" s="24" t="str">
        <f>IF($O6=1,1,"")</f>
        <v/>
      </c>
      <c r="Z6" s="22" t="str">
        <f t="shared" si="4"/>
        <v/>
      </c>
      <c r="AA6" s="3" t="str">
        <f t="shared" si="5"/>
        <v/>
      </c>
      <c r="AB6" s="58"/>
      <c r="AC6" s="59"/>
    </row>
    <row r="7" spans="1:31" x14ac:dyDescent="0.3">
      <c r="A7" s="10"/>
      <c r="B7" s="1"/>
      <c r="C7" s="2"/>
      <c r="D7" s="2"/>
      <c r="E7" s="2"/>
      <c r="F7" s="2"/>
      <c r="G7" s="19"/>
      <c r="H7" s="10"/>
      <c r="I7" s="1"/>
      <c r="J7" s="2"/>
      <c r="K7" s="2"/>
      <c r="L7" s="2"/>
      <c r="M7" s="2"/>
      <c r="N7" s="19"/>
      <c r="O7" s="15" t="str">
        <f t="shared" si="2"/>
        <v/>
      </c>
      <c r="P7" s="65"/>
      <c r="Q7" s="43" t="str">
        <f>IF($O7="","","DMUS0165")</f>
        <v/>
      </c>
      <c r="R7" s="3" t="str">
        <f>IF($O7="","","Instrumento Auxiliar Harmônico I")</f>
        <v/>
      </c>
      <c r="S7" s="2">
        <f t="shared" si="3"/>
        <v>30</v>
      </c>
      <c r="T7" s="2">
        <v>0</v>
      </c>
      <c r="U7" s="2">
        <v>1</v>
      </c>
      <c r="V7" s="2">
        <v>0</v>
      </c>
      <c r="W7" s="2">
        <v>0</v>
      </c>
      <c r="X7" s="2"/>
      <c r="Y7" s="24"/>
      <c r="Z7" s="22" t="str">
        <f t="shared" si="4"/>
        <v/>
      </c>
      <c r="AA7" s="3" t="str">
        <f t="shared" si="5"/>
        <v/>
      </c>
      <c r="AB7" s="58"/>
      <c r="AC7" s="59"/>
    </row>
    <row r="8" spans="1:31" x14ac:dyDescent="0.3">
      <c r="A8" s="10" t="s">
        <v>57</v>
      </c>
      <c r="B8" s="1" t="s">
        <v>56</v>
      </c>
      <c r="C8" s="2">
        <f t="shared" si="0"/>
        <v>60</v>
      </c>
      <c r="D8" s="2">
        <v>0</v>
      </c>
      <c r="E8" s="2">
        <v>2</v>
      </c>
      <c r="F8" s="2">
        <v>0</v>
      </c>
      <c r="G8" s="19"/>
      <c r="H8" s="10" t="s">
        <v>57</v>
      </c>
      <c r="I8" s="1" t="s">
        <v>56</v>
      </c>
      <c r="J8" s="2">
        <f t="shared" si="1"/>
        <v>60</v>
      </c>
      <c r="K8" s="2">
        <v>0</v>
      </c>
      <c r="L8" s="2">
        <v>2</v>
      </c>
      <c r="M8" s="2">
        <v>0</v>
      </c>
      <c r="N8" s="19"/>
      <c r="O8" s="15" t="str">
        <f t="shared" si="2"/>
        <v/>
      </c>
      <c r="P8" s="65"/>
      <c r="Q8" s="43" t="str">
        <f>IF($O8="","","DMUS0166")</f>
        <v/>
      </c>
      <c r="R8" s="3" t="str">
        <f>IF($O8="","","Laboratório de Música e Tecnologias Digitais I")</f>
        <v/>
      </c>
      <c r="S8" s="2">
        <f t="shared" si="3"/>
        <v>45</v>
      </c>
      <c r="T8" s="2">
        <v>2</v>
      </c>
      <c r="U8" s="2">
        <v>0</v>
      </c>
      <c r="V8" s="2">
        <v>0</v>
      </c>
      <c r="W8" s="2">
        <v>1</v>
      </c>
      <c r="X8" s="2"/>
      <c r="Y8" s="24" t="str">
        <f>IF($O8=1,1,"")</f>
        <v/>
      </c>
      <c r="Z8" s="22" t="str">
        <f t="shared" si="4"/>
        <v/>
      </c>
      <c r="AA8" s="3" t="str">
        <f t="shared" si="5"/>
        <v/>
      </c>
      <c r="AB8" s="58"/>
      <c r="AC8" s="59"/>
    </row>
    <row r="9" spans="1:31" x14ac:dyDescent="0.3">
      <c r="A9" s="10" t="s">
        <v>94</v>
      </c>
      <c r="B9" s="1" t="s">
        <v>10</v>
      </c>
      <c r="C9" s="2">
        <f t="shared" si="0"/>
        <v>60</v>
      </c>
      <c r="D9" s="2">
        <v>4</v>
      </c>
      <c r="E9" s="2">
        <v>0</v>
      </c>
      <c r="F9" s="2">
        <v>0</v>
      </c>
      <c r="G9" s="19"/>
      <c r="H9" s="10" t="s">
        <v>94</v>
      </c>
      <c r="I9" s="1" t="s">
        <v>10</v>
      </c>
      <c r="J9" s="2">
        <f t="shared" si="1"/>
        <v>60</v>
      </c>
      <c r="K9" s="2">
        <v>4</v>
      </c>
      <c r="L9" s="2">
        <v>0</v>
      </c>
      <c r="M9" s="2">
        <v>0</v>
      </c>
      <c r="N9" s="19"/>
      <c r="O9" s="15" t="str">
        <f t="shared" si="2"/>
        <v/>
      </c>
      <c r="P9" s="65"/>
      <c r="Q9" s="43" t="str">
        <f>IF($O9="","","DEII0409")</f>
        <v/>
      </c>
      <c r="R9" s="3" t="str">
        <f>IF($O9="","","Organização da Educação Brasileira")</f>
        <v/>
      </c>
      <c r="S9" s="2">
        <f t="shared" si="3"/>
        <v>60</v>
      </c>
      <c r="T9" s="2">
        <v>4</v>
      </c>
      <c r="U9" s="2">
        <v>0</v>
      </c>
      <c r="V9" s="2">
        <v>0</v>
      </c>
      <c r="W9" s="2">
        <v>0</v>
      </c>
      <c r="X9" s="2"/>
      <c r="Y9" s="24" t="str">
        <f>IF($O9=1,0,"")</f>
        <v/>
      </c>
      <c r="Z9" s="22" t="str">
        <f t="shared" si="4"/>
        <v/>
      </c>
      <c r="AA9" s="3" t="str">
        <f t="shared" si="5"/>
        <v/>
      </c>
      <c r="AB9" s="58"/>
      <c r="AC9" s="59"/>
    </row>
    <row r="10" spans="1:31" x14ac:dyDescent="0.3">
      <c r="A10" s="10" t="s">
        <v>120</v>
      </c>
      <c r="B10" s="1" t="s">
        <v>11</v>
      </c>
      <c r="C10" s="2">
        <f t="shared" si="0"/>
        <v>60</v>
      </c>
      <c r="D10" s="2">
        <v>4</v>
      </c>
      <c r="E10" s="2">
        <v>0</v>
      </c>
      <c r="F10" s="2">
        <v>0</v>
      </c>
      <c r="G10" s="19"/>
      <c r="H10" s="10"/>
      <c r="I10" s="1"/>
      <c r="J10" s="2"/>
      <c r="K10" s="2"/>
      <c r="L10" s="2"/>
      <c r="M10" s="2"/>
      <c r="N10" s="19"/>
      <c r="O10" s="15" t="str">
        <f t="shared" si="2"/>
        <v/>
      </c>
      <c r="P10" s="66"/>
      <c r="Q10" s="44" t="str">
        <f>IF($O10="","","DEPB0131")</f>
        <v/>
      </c>
      <c r="R10" s="34" t="str">
        <f>IF($O10="","","Metodologia do Trabalho Científico")</f>
        <v/>
      </c>
      <c r="S10" s="35">
        <f t="shared" si="3"/>
        <v>45</v>
      </c>
      <c r="T10" s="35">
        <v>3</v>
      </c>
      <c r="U10" s="35">
        <v>0</v>
      </c>
      <c r="V10" s="35">
        <v>0</v>
      </c>
      <c r="W10" s="35">
        <v>0</v>
      </c>
      <c r="X10" s="35"/>
      <c r="Y10" s="38" t="str">
        <f>IF($O10=1,1,"")</f>
        <v/>
      </c>
      <c r="Z10" s="22" t="str">
        <f t="shared" si="4"/>
        <v/>
      </c>
      <c r="AA10" s="3" t="str">
        <f t="shared" si="5"/>
        <v/>
      </c>
      <c r="AB10" s="58"/>
      <c r="AC10" s="59"/>
    </row>
    <row r="11" spans="1:31" x14ac:dyDescent="0.3">
      <c r="A11" s="10" t="s">
        <v>126</v>
      </c>
      <c r="B11" s="1" t="s">
        <v>125</v>
      </c>
      <c r="C11" s="2">
        <f t="shared" si="0"/>
        <v>60</v>
      </c>
      <c r="D11" s="2">
        <v>2</v>
      </c>
      <c r="E11" s="2">
        <v>1</v>
      </c>
      <c r="F11" s="2">
        <v>0</v>
      </c>
      <c r="G11" s="19"/>
      <c r="H11" s="10" t="s">
        <v>60</v>
      </c>
      <c r="I11" s="1" t="s">
        <v>49</v>
      </c>
      <c r="J11" s="2">
        <f t="shared" si="1"/>
        <v>60</v>
      </c>
      <c r="K11" s="2">
        <v>4</v>
      </c>
      <c r="L11" s="2">
        <v>0</v>
      </c>
      <c r="M11" s="2">
        <v>0</v>
      </c>
      <c r="N11" s="19"/>
      <c r="O11" s="15" t="str">
        <f t="shared" si="2"/>
        <v/>
      </c>
      <c r="P11" s="64">
        <v>2</v>
      </c>
      <c r="Q11" s="42" t="str">
        <f>IF($O11="","","DMUS0168")</f>
        <v/>
      </c>
      <c r="R11" s="32" t="str">
        <f>IF($O11="","","Teoria e Percepção Musical II")</f>
        <v/>
      </c>
      <c r="S11" s="33">
        <f t="shared" si="3"/>
        <v>60</v>
      </c>
      <c r="T11" s="33">
        <v>2</v>
      </c>
      <c r="U11" s="33">
        <v>1</v>
      </c>
      <c r="V11" s="33">
        <v>0</v>
      </c>
      <c r="W11" s="33">
        <v>0</v>
      </c>
      <c r="X11" s="33"/>
      <c r="Y11" s="37" t="str">
        <f>IF($O11=1,0,"")</f>
        <v/>
      </c>
      <c r="Z11" s="22" t="str">
        <f t="shared" si="4"/>
        <v/>
      </c>
      <c r="AA11" s="3" t="str">
        <f t="shared" si="5"/>
        <v/>
      </c>
      <c r="AB11" s="58"/>
      <c r="AC11" s="59"/>
    </row>
    <row r="12" spans="1:31" x14ac:dyDescent="0.3">
      <c r="A12" s="10" t="s">
        <v>128</v>
      </c>
      <c r="B12" s="1" t="s">
        <v>12</v>
      </c>
      <c r="C12" s="2">
        <f t="shared" si="0"/>
        <v>60</v>
      </c>
      <c r="D12" s="2">
        <v>4</v>
      </c>
      <c r="E12" s="2">
        <v>0</v>
      </c>
      <c r="F12" s="2">
        <v>0</v>
      </c>
      <c r="G12" s="19"/>
      <c r="H12" s="10" t="s">
        <v>63</v>
      </c>
      <c r="I12" s="1" t="s">
        <v>12</v>
      </c>
      <c r="J12" s="2">
        <f t="shared" si="1"/>
        <v>60</v>
      </c>
      <c r="K12" s="2">
        <v>4</v>
      </c>
      <c r="L12" s="2">
        <v>0</v>
      </c>
      <c r="M12" s="2">
        <v>0</v>
      </c>
      <c r="N12" s="19"/>
      <c r="O12" s="15" t="str">
        <f t="shared" si="2"/>
        <v/>
      </c>
      <c r="P12" s="65"/>
      <c r="Q12" s="43" t="str">
        <f>IF($O12="","","DMUS0169")</f>
        <v/>
      </c>
      <c r="R12" s="3" t="str">
        <f>IF($O12="","","História da Música II")</f>
        <v/>
      </c>
      <c r="S12" s="2">
        <f t="shared" si="3"/>
        <v>45</v>
      </c>
      <c r="T12" s="2">
        <v>3</v>
      </c>
      <c r="U12" s="2">
        <v>0</v>
      </c>
      <c r="V12" s="2">
        <v>0</v>
      </c>
      <c r="W12" s="2">
        <v>0</v>
      </c>
      <c r="X12" s="2"/>
      <c r="Y12" s="24" t="str">
        <f>IF($O12=1,1,"")</f>
        <v/>
      </c>
      <c r="Z12" s="22" t="str">
        <f t="shared" si="4"/>
        <v/>
      </c>
      <c r="AA12" s="3" t="str">
        <f t="shared" si="5"/>
        <v/>
      </c>
      <c r="AB12" s="58"/>
      <c r="AC12" s="59"/>
    </row>
    <row r="13" spans="1:31" x14ac:dyDescent="0.3">
      <c r="A13" s="10"/>
      <c r="B13" s="1"/>
      <c r="C13" s="2"/>
      <c r="D13" s="2"/>
      <c r="E13" s="2"/>
      <c r="F13" s="2"/>
      <c r="G13" s="19"/>
      <c r="H13" s="10"/>
      <c r="I13" s="1"/>
      <c r="J13" s="2"/>
      <c r="K13" s="2"/>
      <c r="L13" s="2"/>
      <c r="M13" s="2"/>
      <c r="N13" s="19"/>
      <c r="O13" s="15" t="str">
        <f t="shared" si="2"/>
        <v/>
      </c>
      <c r="P13" s="65"/>
      <c r="Q13" s="43" t="str">
        <f>IF($O13="","","DMUS0171")</f>
        <v/>
      </c>
      <c r="R13" s="3" t="str">
        <f>IF($O13="","","Instrumento Auxiliar Harmônico II")</f>
        <v/>
      </c>
      <c r="S13" s="2">
        <f t="shared" si="3"/>
        <v>30</v>
      </c>
      <c r="T13" s="2">
        <v>0</v>
      </c>
      <c r="U13" s="2">
        <v>1</v>
      </c>
      <c r="V13" s="2">
        <v>0</v>
      </c>
      <c r="W13" s="2">
        <v>0</v>
      </c>
      <c r="X13" s="2"/>
      <c r="Y13" s="16"/>
      <c r="Z13" s="22" t="str">
        <f t="shared" si="4"/>
        <v/>
      </c>
      <c r="AA13" s="3" t="str">
        <f t="shared" si="5"/>
        <v/>
      </c>
      <c r="AB13" s="58"/>
      <c r="AC13" s="59"/>
    </row>
    <row r="14" spans="1:31" x14ac:dyDescent="0.3">
      <c r="A14" s="10" t="s">
        <v>136</v>
      </c>
      <c r="B14" s="1" t="s">
        <v>76</v>
      </c>
      <c r="C14" s="2">
        <f t="shared" si="0"/>
        <v>60</v>
      </c>
      <c r="D14" s="2">
        <v>2</v>
      </c>
      <c r="E14" s="2">
        <v>1</v>
      </c>
      <c r="F14" s="2">
        <v>0</v>
      </c>
      <c r="G14" s="19"/>
      <c r="H14" s="10" t="s">
        <v>77</v>
      </c>
      <c r="I14" s="1" t="s">
        <v>76</v>
      </c>
      <c r="J14" s="2">
        <f t="shared" si="1"/>
        <v>60</v>
      </c>
      <c r="K14" s="2">
        <v>0</v>
      </c>
      <c r="L14" s="2">
        <v>2</v>
      </c>
      <c r="M14" s="2">
        <v>0</v>
      </c>
      <c r="N14" s="19"/>
      <c r="O14" s="15" t="str">
        <f t="shared" si="2"/>
        <v/>
      </c>
      <c r="P14" s="65"/>
      <c r="Q14" s="43" t="str">
        <f>IF($O14="","","DMUS0170")</f>
        <v/>
      </c>
      <c r="R14" s="3" t="str">
        <f>IF($O14="","","Sistemas e Estruturas Musicais I")</f>
        <v/>
      </c>
      <c r="S14" s="2">
        <f t="shared" si="3"/>
        <v>60</v>
      </c>
      <c r="T14" s="2">
        <v>2</v>
      </c>
      <c r="U14" s="2">
        <v>1</v>
      </c>
      <c r="V14" s="2">
        <v>0</v>
      </c>
      <c r="W14" s="2">
        <v>0</v>
      </c>
      <c r="X14" s="2"/>
      <c r="Y14" s="24" t="str">
        <f>IF($O14=1,0,"")</f>
        <v/>
      </c>
      <c r="Z14" s="22" t="str">
        <f t="shared" si="4"/>
        <v/>
      </c>
      <c r="AA14" s="3" t="str">
        <f t="shared" si="5"/>
        <v/>
      </c>
      <c r="AB14" s="58"/>
      <c r="AC14" s="59"/>
    </row>
    <row r="15" spans="1:31" x14ac:dyDescent="0.3">
      <c r="A15" s="10" t="s">
        <v>128</v>
      </c>
      <c r="B15" s="1" t="s">
        <v>127</v>
      </c>
      <c r="C15" s="2">
        <f t="shared" si="0"/>
        <v>45</v>
      </c>
      <c r="D15" s="2">
        <v>1</v>
      </c>
      <c r="E15" s="2">
        <v>1</v>
      </c>
      <c r="F15" s="2">
        <v>0</v>
      </c>
      <c r="G15" s="19"/>
      <c r="H15" s="10"/>
      <c r="I15" s="1"/>
      <c r="J15" s="2"/>
      <c r="K15" s="2"/>
      <c r="L15" s="2"/>
      <c r="M15" s="2"/>
      <c r="N15" s="19"/>
      <c r="O15" s="15" t="str">
        <f t="shared" si="2"/>
        <v/>
      </c>
      <c r="P15" s="65"/>
      <c r="Q15" s="43" t="str">
        <f>IF($O15="","","DMUS0172")</f>
        <v/>
      </c>
      <c r="R15" s="3" t="str">
        <f>IF($O15="","","Técnica e Expressão Vocal")</f>
        <v/>
      </c>
      <c r="S15" s="2">
        <f t="shared" si="3"/>
        <v>60</v>
      </c>
      <c r="T15" s="2">
        <v>2</v>
      </c>
      <c r="U15" s="2">
        <v>1</v>
      </c>
      <c r="V15" s="2">
        <v>0</v>
      </c>
      <c r="W15" s="2">
        <v>0</v>
      </c>
      <c r="X15" s="2"/>
      <c r="Y15" s="24" t="str">
        <f>IF($O15=-1,0,"")</f>
        <v/>
      </c>
      <c r="Z15" s="22" t="str">
        <f t="shared" si="4"/>
        <v/>
      </c>
      <c r="AA15" s="3" t="str">
        <f t="shared" si="5"/>
        <v/>
      </c>
      <c r="AB15" s="58"/>
      <c r="AC15" s="59"/>
    </row>
    <row r="16" spans="1:31" x14ac:dyDescent="0.3">
      <c r="A16" s="10" t="s">
        <v>117</v>
      </c>
      <c r="B16" s="1" t="s">
        <v>13</v>
      </c>
      <c r="C16" s="2">
        <f t="shared" si="0"/>
        <v>60</v>
      </c>
      <c r="D16" s="2">
        <v>4</v>
      </c>
      <c r="E16" s="2">
        <v>0</v>
      </c>
      <c r="F16" s="2">
        <v>0</v>
      </c>
      <c r="G16" s="19"/>
      <c r="H16" s="10"/>
      <c r="I16" s="1"/>
      <c r="J16" s="2"/>
      <c r="K16" s="2"/>
      <c r="L16" s="2"/>
      <c r="M16" s="2"/>
      <c r="N16" s="19"/>
      <c r="O16" s="15" t="str">
        <f t="shared" si="2"/>
        <v/>
      </c>
      <c r="P16" s="66"/>
      <c r="Q16" s="44" t="str">
        <f>IF($O16="","","DMUS0167")</f>
        <v/>
      </c>
      <c r="R16" s="34" t="str">
        <f>IF($O16="","","Fundamentos da Arte na Educação")</f>
        <v/>
      </c>
      <c r="S16" s="35">
        <f t="shared" si="3"/>
        <v>60</v>
      </c>
      <c r="T16" s="35">
        <v>2</v>
      </c>
      <c r="U16" s="35">
        <v>1</v>
      </c>
      <c r="V16" s="35">
        <v>0</v>
      </c>
      <c r="W16" s="35">
        <v>0</v>
      </c>
      <c r="X16" s="35"/>
      <c r="Y16" s="38" t="str">
        <f>IF($O16=1,0,"")</f>
        <v/>
      </c>
      <c r="Z16" s="22" t="str">
        <f t="shared" si="4"/>
        <v/>
      </c>
      <c r="AA16" s="3" t="str">
        <f t="shared" si="5"/>
        <v/>
      </c>
      <c r="AB16" s="58"/>
      <c r="AC16" s="59"/>
    </row>
    <row r="17" spans="1:29" x14ac:dyDescent="0.3">
      <c r="A17" s="10"/>
      <c r="B17" s="1"/>
      <c r="C17" s="2"/>
      <c r="D17" s="2"/>
      <c r="E17" s="2"/>
      <c r="F17" s="2"/>
      <c r="G17" s="19"/>
      <c r="H17" s="10"/>
      <c r="I17" s="1"/>
      <c r="J17" s="2"/>
      <c r="K17" s="2"/>
      <c r="L17" s="2"/>
      <c r="M17" s="2"/>
      <c r="N17" s="19"/>
      <c r="O17" s="15" t="str">
        <f t="shared" si="2"/>
        <v/>
      </c>
      <c r="P17" s="64">
        <v>3</v>
      </c>
      <c r="Q17" s="42" t="str">
        <f>IF($O17="","","DMUS0174")</f>
        <v/>
      </c>
      <c r="R17" s="32" t="str">
        <f>IF($O17="","","Teoria e Percepção Musical III")</f>
        <v/>
      </c>
      <c r="S17" s="33">
        <f t="shared" si="3"/>
        <v>60</v>
      </c>
      <c r="T17" s="33">
        <v>2</v>
      </c>
      <c r="U17" s="33">
        <v>1</v>
      </c>
      <c r="V17" s="33">
        <v>0</v>
      </c>
      <c r="W17" s="33">
        <v>0</v>
      </c>
      <c r="X17" s="33"/>
      <c r="Y17" s="37"/>
      <c r="Z17" s="22" t="str">
        <f t="shared" si="4"/>
        <v/>
      </c>
      <c r="AA17" s="3" t="str">
        <f t="shared" si="5"/>
        <v/>
      </c>
      <c r="AB17" s="58"/>
      <c r="AC17" s="59"/>
    </row>
    <row r="18" spans="1:29" x14ac:dyDescent="0.3">
      <c r="A18" s="10"/>
      <c r="B18" s="1"/>
      <c r="C18" s="2"/>
      <c r="D18" s="2"/>
      <c r="E18" s="2"/>
      <c r="F18" s="2"/>
      <c r="G18" s="19"/>
      <c r="H18" s="10"/>
      <c r="I18" s="1"/>
      <c r="J18" s="2"/>
      <c r="K18" s="2"/>
      <c r="L18" s="2"/>
      <c r="M18" s="2"/>
      <c r="N18" s="19"/>
      <c r="O18" s="15" t="str">
        <f t="shared" si="2"/>
        <v/>
      </c>
      <c r="P18" s="65"/>
      <c r="Q18" s="43" t="str">
        <f>IF($O18="","","DMUS0175")</f>
        <v/>
      </c>
      <c r="R18" s="3" t="str">
        <f>IF($O18="","","História da Música III")</f>
        <v/>
      </c>
      <c r="S18" s="2">
        <f t="shared" si="3"/>
        <v>45</v>
      </c>
      <c r="T18" s="2">
        <v>3</v>
      </c>
      <c r="U18" s="2">
        <v>0</v>
      </c>
      <c r="V18" s="2">
        <v>0</v>
      </c>
      <c r="W18" s="2">
        <v>0</v>
      </c>
      <c r="X18" s="2"/>
      <c r="Y18" s="16"/>
      <c r="Z18" s="22" t="str">
        <f t="shared" si="4"/>
        <v/>
      </c>
      <c r="AA18" s="3" t="str">
        <f t="shared" si="5"/>
        <v/>
      </c>
      <c r="AB18" s="58"/>
      <c r="AC18" s="59"/>
    </row>
    <row r="19" spans="1:29" x14ac:dyDescent="0.3">
      <c r="A19" s="10"/>
      <c r="B19" s="1"/>
      <c r="C19" s="2"/>
      <c r="D19" s="2"/>
      <c r="E19" s="2"/>
      <c r="F19" s="2"/>
      <c r="G19" s="19"/>
      <c r="H19" s="10"/>
      <c r="I19" s="1"/>
      <c r="J19" s="2"/>
      <c r="K19" s="2"/>
      <c r="L19" s="2"/>
      <c r="M19" s="2"/>
      <c r="N19" s="19"/>
      <c r="O19" s="15" t="str">
        <f t="shared" si="2"/>
        <v/>
      </c>
      <c r="P19" s="65"/>
      <c r="Q19" s="43" t="str">
        <f>IF($O19="","","DMUS0177")</f>
        <v/>
      </c>
      <c r="R19" s="3" t="str">
        <f>IF($O19="","","Instrumento Auxiliar Harmônico III")</f>
        <v/>
      </c>
      <c r="S19" s="2">
        <f t="shared" si="3"/>
        <v>30</v>
      </c>
      <c r="T19" s="2">
        <v>0</v>
      </c>
      <c r="U19" s="2">
        <v>1</v>
      </c>
      <c r="V19" s="2">
        <v>0</v>
      </c>
      <c r="W19" s="2">
        <v>0</v>
      </c>
      <c r="X19" s="2"/>
      <c r="Y19" s="16"/>
      <c r="Z19" s="22" t="str">
        <f t="shared" si="4"/>
        <v/>
      </c>
      <c r="AA19" s="3" t="str">
        <f t="shared" si="5"/>
        <v/>
      </c>
      <c r="AB19" s="60"/>
      <c r="AC19" s="59"/>
    </row>
    <row r="20" spans="1:29" x14ac:dyDescent="0.3">
      <c r="A20" s="10" t="s">
        <v>105</v>
      </c>
      <c r="B20" s="1" t="s">
        <v>104</v>
      </c>
      <c r="C20" s="2">
        <f t="shared" si="0"/>
        <v>60</v>
      </c>
      <c r="D20" s="2">
        <v>2</v>
      </c>
      <c r="E20" s="2">
        <v>1</v>
      </c>
      <c r="F20" s="2">
        <v>0</v>
      </c>
      <c r="G20" s="19"/>
      <c r="H20" s="10" t="s">
        <v>105</v>
      </c>
      <c r="I20" s="1" t="s">
        <v>104</v>
      </c>
      <c r="J20" s="2">
        <f t="shared" si="1"/>
        <v>60</v>
      </c>
      <c r="K20" s="2">
        <v>2</v>
      </c>
      <c r="L20" s="2">
        <v>1</v>
      </c>
      <c r="M20" s="2">
        <v>0</v>
      </c>
      <c r="N20" s="19"/>
      <c r="O20" s="15" t="str">
        <f t="shared" si="2"/>
        <v/>
      </c>
      <c r="P20" s="65"/>
      <c r="Q20" s="43" t="str">
        <f>IF($O20="","","DMUS0176")</f>
        <v/>
      </c>
      <c r="R20" s="3" t="str">
        <f>IF($O20="","","Sistemas e Estruturas Musicais II")</f>
        <v/>
      </c>
      <c r="S20" s="2">
        <f t="shared" si="3"/>
        <v>60</v>
      </c>
      <c r="T20" s="2">
        <v>2</v>
      </c>
      <c r="U20" s="2">
        <v>1</v>
      </c>
      <c r="V20" s="2">
        <v>0</v>
      </c>
      <c r="W20" s="2">
        <v>0</v>
      </c>
      <c r="X20" s="2"/>
      <c r="Y20" s="24" t="str">
        <f>IF($O20=1,0,"")</f>
        <v/>
      </c>
      <c r="Z20" s="22" t="str">
        <f t="shared" si="4"/>
        <v/>
      </c>
      <c r="AA20" s="3" t="str">
        <f t="shared" si="5"/>
        <v/>
      </c>
      <c r="AB20" s="58"/>
      <c r="AC20" s="59"/>
    </row>
    <row r="21" spans="1:29" x14ac:dyDescent="0.3">
      <c r="A21" s="10" t="s">
        <v>37</v>
      </c>
      <c r="B21" s="1" t="s">
        <v>14</v>
      </c>
      <c r="C21" s="2">
        <f t="shared" si="0"/>
        <v>60</v>
      </c>
      <c r="D21" s="2">
        <v>0</v>
      </c>
      <c r="E21" s="2">
        <v>2</v>
      </c>
      <c r="F21" s="2">
        <v>0</v>
      </c>
      <c r="G21" s="19"/>
      <c r="H21" s="10" t="s">
        <v>37</v>
      </c>
      <c r="I21" s="1" t="s">
        <v>14</v>
      </c>
      <c r="J21" s="2">
        <f t="shared" si="1"/>
        <v>60</v>
      </c>
      <c r="K21" s="2">
        <v>0</v>
      </c>
      <c r="L21" s="2">
        <v>2</v>
      </c>
      <c r="M21" s="2">
        <v>0</v>
      </c>
      <c r="N21" s="19"/>
      <c r="O21" s="15" t="str">
        <f t="shared" si="2"/>
        <v/>
      </c>
      <c r="P21" s="65"/>
      <c r="Q21" s="43" t="str">
        <f>IF($O21="","","DMUS0178")</f>
        <v/>
      </c>
      <c r="R21" s="3" t="str">
        <f>IF($O21="","","Prática Coral I")</f>
        <v/>
      </c>
      <c r="S21" s="2">
        <f t="shared" si="3"/>
        <v>60</v>
      </c>
      <c r="T21" s="2">
        <v>0</v>
      </c>
      <c r="U21" s="2">
        <v>1</v>
      </c>
      <c r="V21" s="2">
        <v>0</v>
      </c>
      <c r="W21" s="2">
        <v>2</v>
      </c>
      <c r="X21" s="2"/>
      <c r="Y21" s="24" t="str">
        <f>IF($O21=1,0,"")</f>
        <v/>
      </c>
      <c r="Z21" s="22" t="str">
        <f t="shared" si="4"/>
        <v/>
      </c>
      <c r="AA21" s="3" t="str">
        <f t="shared" si="5"/>
        <v/>
      </c>
      <c r="AB21" s="58"/>
      <c r="AC21" s="59"/>
    </row>
    <row r="22" spans="1:29" x14ac:dyDescent="0.3">
      <c r="A22" s="10" t="s">
        <v>137</v>
      </c>
      <c r="B22" s="1" t="s">
        <v>52</v>
      </c>
      <c r="C22" s="2">
        <f t="shared" si="0"/>
        <v>60</v>
      </c>
      <c r="D22" s="2">
        <v>2</v>
      </c>
      <c r="E22" s="2">
        <v>1</v>
      </c>
      <c r="F22" s="2">
        <v>0</v>
      </c>
      <c r="G22" s="19"/>
      <c r="H22" s="10" t="s">
        <v>51</v>
      </c>
      <c r="I22" s="1" t="s">
        <v>52</v>
      </c>
      <c r="J22" s="2">
        <f t="shared" si="1"/>
        <v>60</v>
      </c>
      <c r="K22" s="2">
        <v>0</v>
      </c>
      <c r="L22" s="2">
        <v>2</v>
      </c>
      <c r="M22" s="2">
        <v>0</v>
      </c>
      <c r="N22" s="19"/>
      <c r="O22" s="15" t="str">
        <f t="shared" si="2"/>
        <v/>
      </c>
      <c r="P22" s="65"/>
      <c r="Q22" s="43" t="str">
        <f>IF($O22="","","DMUS0173")</f>
        <v/>
      </c>
      <c r="R22" s="3" t="str">
        <f>IF($O22="","","Fundamentos e Práticas da Educação Musical I")</f>
        <v/>
      </c>
      <c r="S22" s="2">
        <f t="shared" si="3"/>
        <v>60</v>
      </c>
      <c r="T22" s="2">
        <v>4</v>
      </c>
      <c r="U22" s="2">
        <v>0</v>
      </c>
      <c r="V22" s="2">
        <v>0</v>
      </c>
      <c r="W22" s="2">
        <v>0</v>
      </c>
      <c r="X22" s="2"/>
      <c r="Y22" s="24" t="str">
        <f>IF($O22=1,0,"")</f>
        <v/>
      </c>
      <c r="Z22" s="22" t="str">
        <f t="shared" si="4"/>
        <v/>
      </c>
      <c r="AA22" s="3" t="str">
        <f t="shared" si="5"/>
        <v/>
      </c>
      <c r="AB22" s="58"/>
      <c r="AC22" s="59"/>
    </row>
    <row r="23" spans="1:29" x14ac:dyDescent="0.3">
      <c r="A23" s="10" t="s">
        <v>32</v>
      </c>
      <c r="B23" s="1" t="s">
        <v>33</v>
      </c>
      <c r="C23" s="2">
        <f t="shared" si="0"/>
        <v>60</v>
      </c>
      <c r="D23" s="2">
        <v>4</v>
      </c>
      <c r="E23" s="2">
        <v>0</v>
      </c>
      <c r="F23" s="2">
        <v>0</v>
      </c>
      <c r="G23" s="19"/>
      <c r="H23" s="10" t="s">
        <v>32</v>
      </c>
      <c r="I23" s="1" t="s">
        <v>33</v>
      </c>
      <c r="J23" s="2">
        <f t="shared" si="1"/>
        <v>60</v>
      </c>
      <c r="K23" s="2">
        <v>4</v>
      </c>
      <c r="L23" s="2">
        <v>0</v>
      </c>
      <c r="M23" s="2">
        <v>0</v>
      </c>
      <c r="N23" s="19"/>
      <c r="O23" s="15" t="str">
        <f t="shared" si="2"/>
        <v/>
      </c>
      <c r="P23" s="66"/>
      <c r="Q23" s="44" t="str">
        <f>IF($O23="","","DEEI0334")</f>
        <v/>
      </c>
      <c r="R23" s="34" t="str">
        <f>IF($O23="","","Didática I")</f>
        <v/>
      </c>
      <c r="S23" s="35">
        <f t="shared" si="3"/>
        <v>60</v>
      </c>
      <c r="T23" s="35">
        <v>4</v>
      </c>
      <c r="U23" s="35">
        <v>0</v>
      </c>
      <c r="V23" s="35">
        <v>0</v>
      </c>
      <c r="W23" s="35">
        <v>0</v>
      </c>
      <c r="X23" s="35"/>
      <c r="Y23" s="38" t="str">
        <f>IF($O23=1,0,"")</f>
        <v/>
      </c>
      <c r="Z23" s="22" t="str">
        <f t="shared" si="4"/>
        <v/>
      </c>
      <c r="AA23" s="3" t="str">
        <f t="shared" si="5"/>
        <v/>
      </c>
      <c r="AB23" s="58"/>
      <c r="AC23" s="59"/>
    </row>
    <row r="24" spans="1:29" x14ac:dyDescent="0.3">
      <c r="A24" s="10"/>
      <c r="B24" s="1"/>
      <c r="C24" s="2"/>
      <c r="D24" s="2"/>
      <c r="E24" s="2"/>
      <c r="F24" s="2"/>
      <c r="G24" s="19"/>
      <c r="H24" s="10"/>
      <c r="I24" s="1"/>
      <c r="J24" s="2"/>
      <c r="K24" s="2"/>
      <c r="L24" s="2"/>
      <c r="M24" s="2"/>
      <c r="N24" s="19"/>
      <c r="O24" s="15" t="str">
        <f t="shared" si="2"/>
        <v/>
      </c>
      <c r="P24" s="64">
        <v>4</v>
      </c>
      <c r="Q24" s="42" t="str">
        <f>IF($O24="","","DMUS0180")</f>
        <v/>
      </c>
      <c r="R24" s="32" t="str">
        <f>IF($O24="","","Teoria e Percepção Musical IV")</f>
        <v/>
      </c>
      <c r="S24" s="33">
        <f t="shared" si="3"/>
        <v>60</v>
      </c>
      <c r="T24" s="33">
        <v>2</v>
      </c>
      <c r="U24" s="33">
        <v>1</v>
      </c>
      <c r="V24" s="33">
        <v>0</v>
      </c>
      <c r="W24" s="33">
        <v>0</v>
      </c>
      <c r="X24" s="33"/>
      <c r="Y24" s="39"/>
      <c r="Z24" s="22" t="str">
        <f t="shared" si="4"/>
        <v/>
      </c>
      <c r="AA24" s="3" t="str">
        <f t="shared" si="5"/>
        <v/>
      </c>
      <c r="AB24" s="58"/>
      <c r="AC24" s="59"/>
    </row>
    <row r="25" spans="1:29" x14ac:dyDescent="0.3">
      <c r="A25" s="10" t="s">
        <v>130</v>
      </c>
      <c r="B25" s="1" t="s">
        <v>129</v>
      </c>
      <c r="C25" s="2">
        <f t="shared" si="0"/>
        <v>60</v>
      </c>
      <c r="D25" s="2">
        <v>4</v>
      </c>
      <c r="E25" s="2">
        <v>0</v>
      </c>
      <c r="F25" s="2">
        <v>0</v>
      </c>
      <c r="G25" s="19"/>
      <c r="H25" s="10"/>
      <c r="I25" s="1"/>
      <c r="J25" s="2"/>
      <c r="K25" s="2"/>
      <c r="L25" s="2"/>
      <c r="M25" s="2"/>
      <c r="N25" s="19"/>
      <c r="O25" s="15" t="str">
        <f t="shared" si="2"/>
        <v/>
      </c>
      <c r="P25" s="65"/>
      <c r="Q25" s="43" t="str">
        <f>IF($O25="","","DMUS0181")</f>
        <v/>
      </c>
      <c r="R25" s="3" t="str">
        <f>IF($O25="","","História da Música Brasileira I")</f>
        <v/>
      </c>
      <c r="S25" s="2">
        <f t="shared" si="3"/>
        <v>45</v>
      </c>
      <c r="T25" s="2">
        <v>3</v>
      </c>
      <c r="U25" s="2">
        <v>0</v>
      </c>
      <c r="V25" s="2">
        <v>0</v>
      </c>
      <c r="W25" s="2">
        <v>0</v>
      </c>
      <c r="X25" s="2"/>
      <c r="Y25" s="24" t="str">
        <f>IF($O25=1,1,"")</f>
        <v/>
      </c>
      <c r="Z25" s="22" t="str">
        <f t="shared" si="4"/>
        <v/>
      </c>
      <c r="AA25" s="3" t="str">
        <f t="shared" si="5"/>
        <v/>
      </c>
      <c r="AB25" s="58"/>
      <c r="AC25" s="59"/>
    </row>
    <row r="26" spans="1:29" x14ac:dyDescent="0.3">
      <c r="A26" s="10"/>
      <c r="B26" s="1"/>
      <c r="C26" s="2"/>
      <c r="D26" s="2"/>
      <c r="E26" s="2"/>
      <c r="F26" s="2"/>
      <c r="G26" s="19"/>
      <c r="H26" s="10" t="s">
        <v>79</v>
      </c>
      <c r="I26" s="1" t="s">
        <v>78</v>
      </c>
      <c r="J26" s="2">
        <f t="shared" si="1"/>
        <v>30</v>
      </c>
      <c r="K26" s="2">
        <v>0</v>
      </c>
      <c r="L26" s="2">
        <v>1</v>
      </c>
      <c r="M26" s="2">
        <v>0</v>
      </c>
      <c r="N26" s="19"/>
      <c r="O26" s="15" t="str">
        <f t="shared" si="2"/>
        <v/>
      </c>
      <c r="P26" s="65"/>
      <c r="Q26" s="43" t="str">
        <f>IF($O26="","","DMUS0214")</f>
        <v/>
      </c>
      <c r="R26" s="3" t="str">
        <f>IF($O26="","","Instrumento Auxiliar Melódico I")</f>
        <v/>
      </c>
      <c r="S26" s="2">
        <f t="shared" si="3"/>
        <v>30</v>
      </c>
      <c r="T26" s="2">
        <v>0</v>
      </c>
      <c r="U26" s="2">
        <v>1</v>
      </c>
      <c r="V26" s="2">
        <v>0</v>
      </c>
      <c r="W26" s="2">
        <v>0</v>
      </c>
      <c r="X26" s="2"/>
      <c r="Y26" s="24" t="str">
        <f>IF($O26=1,0,"")</f>
        <v/>
      </c>
      <c r="Z26" s="22" t="str">
        <f t="shared" si="4"/>
        <v/>
      </c>
      <c r="AA26" s="3" t="str">
        <f t="shared" si="5"/>
        <v/>
      </c>
      <c r="AB26" s="58"/>
      <c r="AC26" s="59"/>
    </row>
    <row r="27" spans="1:29" x14ac:dyDescent="0.3">
      <c r="A27" s="10" t="s">
        <v>107</v>
      </c>
      <c r="B27" s="1" t="s">
        <v>106</v>
      </c>
      <c r="C27" s="2">
        <f t="shared" si="0"/>
        <v>60</v>
      </c>
      <c r="D27" s="2">
        <v>2</v>
      </c>
      <c r="E27" s="2">
        <v>1</v>
      </c>
      <c r="F27" s="2">
        <v>0</v>
      </c>
      <c r="G27" s="19"/>
      <c r="H27" s="10" t="s">
        <v>107</v>
      </c>
      <c r="I27" s="1" t="s">
        <v>106</v>
      </c>
      <c r="J27" s="2">
        <f t="shared" si="1"/>
        <v>60</v>
      </c>
      <c r="K27" s="2">
        <v>2</v>
      </c>
      <c r="L27" s="2">
        <v>1</v>
      </c>
      <c r="M27" s="2">
        <v>0</v>
      </c>
      <c r="N27" s="19"/>
      <c r="O27" s="15" t="str">
        <f t="shared" si="2"/>
        <v/>
      </c>
      <c r="P27" s="65"/>
      <c r="Q27" s="43" t="str">
        <f>IF($O27="","","DMUS0182")</f>
        <v/>
      </c>
      <c r="R27" s="3" t="str">
        <f>IF($O27="","","Sistemas e Estruturas Musicais III")</f>
        <v/>
      </c>
      <c r="S27" s="2">
        <f t="shared" si="3"/>
        <v>60</v>
      </c>
      <c r="T27" s="2">
        <v>2</v>
      </c>
      <c r="U27" s="2">
        <v>1</v>
      </c>
      <c r="V27" s="2">
        <v>0</v>
      </c>
      <c r="W27" s="2">
        <v>0</v>
      </c>
      <c r="X27" s="2"/>
      <c r="Y27" s="24" t="str">
        <f>IF($O27=1,0,"")</f>
        <v/>
      </c>
      <c r="Z27" s="22" t="str">
        <f t="shared" si="4"/>
        <v/>
      </c>
      <c r="AA27" s="3" t="str">
        <f t="shared" si="5"/>
        <v/>
      </c>
      <c r="AB27" s="58"/>
      <c r="AC27" s="59"/>
    </row>
    <row r="28" spans="1:29" x14ac:dyDescent="0.3">
      <c r="A28" s="10" t="s">
        <v>45</v>
      </c>
      <c r="B28" s="1" t="s">
        <v>16</v>
      </c>
      <c r="C28" s="2">
        <f t="shared" si="0"/>
        <v>60</v>
      </c>
      <c r="D28" s="2">
        <v>0</v>
      </c>
      <c r="E28" s="2">
        <v>2</v>
      </c>
      <c r="F28" s="2">
        <v>0</v>
      </c>
      <c r="G28" s="19"/>
      <c r="H28" s="10" t="s">
        <v>45</v>
      </c>
      <c r="I28" s="1" t="s">
        <v>16</v>
      </c>
      <c r="J28" s="2">
        <f t="shared" si="1"/>
        <v>60</v>
      </c>
      <c r="K28" s="2">
        <v>0</v>
      </c>
      <c r="L28" s="2">
        <v>2</v>
      </c>
      <c r="M28" s="2">
        <v>0</v>
      </c>
      <c r="N28" s="19"/>
      <c r="O28" s="15" t="str">
        <f t="shared" si="2"/>
        <v/>
      </c>
      <c r="P28" s="65"/>
      <c r="Q28" s="43" t="str">
        <f>IF($O28="","","DMUS0184")</f>
        <v/>
      </c>
      <c r="R28" s="3" t="str">
        <f>IF($O28="","","Prática Coral II")</f>
        <v/>
      </c>
      <c r="S28" s="2">
        <f t="shared" si="3"/>
        <v>60</v>
      </c>
      <c r="T28" s="2">
        <v>0</v>
      </c>
      <c r="U28" s="2">
        <v>1</v>
      </c>
      <c r="V28" s="2">
        <v>0</v>
      </c>
      <c r="W28" s="2">
        <v>2</v>
      </c>
      <c r="X28" s="2"/>
      <c r="Y28" s="24" t="str">
        <f>IF($O28=1,0,"")</f>
        <v/>
      </c>
      <c r="Z28" s="22" t="str">
        <f t="shared" si="4"/>
        <v/>
      </c>
      <c r="AA28" s="3" t="str">
        <f t="shared" si="5"/>
        <v/>
      </c>
      <c r="AB28" s="58"/>
      <c r="AC28" s="59"/>
    </row>
    <row r="29" spans="1:29" x14ac:dyDescent="0.3">
      <c r="A29" s="10" t="s">
        <v>122</v>
      </c>
      <c r="B29" s="1" t="s">
        <v>121</v>
      </c>
      <c r="C29" s="2">
        <f t="shared" si="0"/>
        <v>60</v>
      </c>
      <c r="D29" s="2">
        <v>2</v>
      </c>
      <c r="E29" s="2">
        <v>1</v>
      </c>
      <c r="F29" s="2">
        <v>0</v>
      </c>
      <c r="G29" s="19"/>
      <c r="H29" s="10" t="s">
        <v>62</v>
      </c>
      <c r="I29" s="1" t="s">
        <v>61</v>
      </c>
      <c r="J29" s="2">
        <f t="shared" si="1"/>
        <v>60</v>
      </c>
      <c r="K29" s="2">
        <v>0</v>
      </c>
      <c r="L29" s="2">
        <v>2</v>
      </c>
      <c r="M29" s="2">
        <v>0</v>
      </c>
      <c r="N29" s="19"/>
      <c r="O29" s="15" t="str">
        <f t="shared" si="2"/>
        <v/>
      </c>
      <c r="P29" s="65"/>
      <c r="Q29" s="43" t="str">
        <f>IF($O29="","","DMUS0179")</f>
        <v/>
      </c>
      <c r="R29" s="3" t="str">
        <f>IF($O29="","","Fundamentos e Práticas da Educação Musical II")</f>
        <v/>
      </c>
      <c r="S29" s="2">
        <f t="shared" si="3"/>
        <v>60</v>
      </c>
      <c r="T29" s="2">
        <v>2</v>
      </c>
      <c r="U29" s="2">
        <v>0</v>
      </c>
      <c r="V29" s="2">
        <v>0</v>
      </c>
      <c r="W29" s="2">
        <v>2</v>
      </c>
      <c r="X29" s="2"/>
      <c r="Y29" s="24" t="str">
        <f>IF($O29=1,0,"")</f>
        <v/>
      </c>
      <c r="Z29" s="22" t="str">
        <f t="shared" si="4"/>
        <v/>
      </c>
      <c r="AA29" s="3" t="str">
        <f t="shared" si="5"/>
        <v/>
      </c>
      <c r="AB29" s="58"/>
      <c r="AC29" s="59"/>
    </row>
    <row r="30" spans="1:29" x14ac:dyDescent="0.3">
      <c r="A30" s="10" t="s">
        <v>42</v>
      </c>
      <c r="B30" s="1" t="s">
        <v>34</v>
      </c>
      <c r="C30" s="2">
        <f t="shared" si="0"/>
        <v>60</v>
      </c>
      <c r="D30" s="2">
        <v>4</v>
      </c>
      <c r="E30" s="2">
        <v>0</v>
      </c>
      <c r="F30" s="2">
        <v>0</v>
      </c>
      <c r="G30" s="19"/>
      <c r="H30" s="10" t="s">
        <v>42</v>
      </c>
      <c r="I30" s="1" t="s">
        <v>34</v>
      </c>
      <c r="J30" s="2">
        <f t="shared" si="1"/>
        <v>60</v>
      </c>
      <c r="K30" s="2">
        <v>4</v>
      </c>
      <c r="L30" s="2">
        <v>0</v>
      </c>
      <c r="M30" s="2">
        <v>0</v>
      </c>
      <c r="N30" s="19"/>
      <c r="O30" s="15" t="str">
        <f t="shared" si="2"/>
        <v/>
      </c>
      <c r="P30" s="65"/>
      <c r="Q30" s="43" t="str">
        <f>IF($O30="","","DEEI0335")</f>
        <v/>
      </c>
      <c r="R30" s="3" t="str">
        <f>IF($O30="","","Didática II")</f>
        <v/>
      </c>
      <c r="S30" s="2">
        <f t="shared" si="3"/>
        <v>60</v>
      </c>
      <c r="T30" s="2">
        <v>2</v>
      </c>
      <c r="U30" s="2">
        <v>0</v>
      </c>
      <c r="V30" s="2">
        <v>0</v>
      </c>
      <c r="W30" s="2">
        <v>2</v>
      </c>
      <c r="X30" s="2"/>
      <c r="Y30" s="24" t="str">
        <f>IF($O30=1,0,"")</f>
        <v/>
      </c>
      <c r="Z30" s="22" t="str">
        <f t="shared" si="4"/>
        <v/>
      </c>
      <c r="AA30" s="3" t="str">
        <f t="shared" si="5"/>
        <v/>
      </c>
      <c r="AB30" s="58"/>
      <c r="AC30" s="59"/>
    </row>
    <row r="31" spans="1:29" x14ac:dyDescent="0.3">
      <c r="A31" s="10"/>
      <c r="B31" s="1"/>
      <c r="C31" s="2"/>
      <c r="D31" s="2"/>
      <c r="E31" s="2"/>
      <c r="F31" s="2"/>
      <c r="G31" s="19"/>
      <c r="H31" s="10"/>
      <c r="I31" s="1"/>
      <c r="J31" s="2"/>
      <c r="K31" s="2"/>
      <c r="L31" s="2"/>
      <c r="M31" s="2"/>
      <c r="N31" s="19"/>
      <c r="O31" s="15" t="str">
        <f t="shared" si="2"/>
        <v/>
      </c>
      <c r="P31" s="66"/>
      <c r="Q31" s="44" t="str">
        <f>IF($O31="","","DMUS0185")</f>
        <v/>
      </c>
      <c r="R31" s="34" t="str">
        <f>IF($O31="","","Estágio Preliminar")</f>
        <v/>
      </c>
      <c r="S31" s="35">
        <f t="shared" si="3"/>
        <v>45</v>
      </c>
      <c r="T31" s="35">
        <v>0</v>
      </c>
      <c r="U31" s="35">
        <v>0</v>
      </c>
      <c r="V31" s="35">
        <v>1</v>
      </c>
      <c r="W31" s="35">
        <v>0</v>
      </c>
      <c r="X31" s="35"/>
      <c r="Y31" s="40"/>
      <c r="Z31" s="22" t="str">
        <f t="shared" si="4"/>
        <v/>
      </c>
      <c r="AA31" s="3" t="str">
        <f t="shared" si="5"/>
        <v/>
      </c>
      <c r="AB31" s="58"/>
      <c r="AC31" s="59"/>
    </row>
    <row r="32" spans="1:29" x14ac:dyDescent="0.3">
      <c r="A32" s="10"/>
      <c r="B32" s="1"/>
      <c r="C32" s="2"/>
      <c r="D32" s="2"/>
      <c r="E32" s="2"/>
      <c r="F32" s="2"/>
      <c r="G32" s="19"/>
      <c r="H32" s="10"/>
      <c r="I32" s="1"/>
      <c r="J32" s="2"/>
      <c r="K32" s="2"/>
      <c r="L32" s="2"/>
      <c r="M32" s="2"/>
      <c r="N32" s="19"/>
      <c r="O32" s="15" t="str">
        <f t="shared" si="2"/>
        <v/>
      </c>
      <c r="P32" s="64">
        <v>5</v>
      </c>
      <c r="Q32" s="42" t="str">
        <f>IF($O32="","","DMUS0187")</f>
        <v/>
      </c>
      <c r="R32" s="32" t="str">
        <f>IF($O32="","","História da Música Brasileira II")</f>
        <v/>
      </c>
      <c r="S32" s="33">
        <f t="shared" si="3"/>
        <v>45</v>
      </c>
      <c r="T32" s="33">
        <v>3</v>
      </c>
      <c r="U32" s="33">
        <v>0</v>
      </c>
      <c r="V32" s="33">
        <v>0</v>
      </c>
      <c r="W32" s="33">
        <v>0</v>
      </c>
      <c r="X32" s="33"/>
      <c r="Y32" s="39"/>
      <c r="Z32" s="22" t="str">
        <f t="shared" si="4"/>
        <v/>
      </c>
      <c r="AA32" s="3" t="str">
        <f t="shared" si="5"/>
        <v/>
      </c>
      <c r="AB32" s="58"/>
      <c r="AC32" s="59"/>
    </row>
    <row r="33" spans="1:29" x14ac:dyDescent="0.3">
      <c r="A33" s="10"/>
      <c r="B33" s="1"/>
      <c r="C33" s="2"/>
      <c r="D33" s="2"/>
      <c r="E33" s="2"/>
      <c r="F33" s="2"/>
      <c r="G33" s="19"/>
      <c r="H33" s="10"/>
      <c r="I33" s="1"/>
      <c r="J33" s="2"/>
      <c r="K33" s="2"/>
      <c r="L33" s="2"/>
      <c r="M33" s="2"/>
      <c r="N33" s="19"/>
      <c r="O33" s="15" t="str">
        <f t="shared" si="2"/>
        <v/>
      </c>
      <c r="P33" s="65"/>
      <c r="Q33" s="43" t="str">
        <f>IF($O33="","","DMUS0190")</f>
        <v/>
      </c>
      <c r="R33" s="3" t="str">
        <f>IF($O33="","","Instrumento Auxiliar Melódico II")</f>
        <v/>
      </c>
      <c r="S33" s="2">
        <f t="shared" si="3"/>
        <v>30</v>
      </c>
      <c r="T33" s="2">
        <v>0</v>
      </c>
      <c r="U33" s="2">
        <v>1</v>
      </c>
      <c r="V33" s="2">
        <v>0</v>
      </c>
      <c r="W33" s="2">
        <v>0</v>
      </c>
      <c r="X33" s="2"/>
      <c r="Y33" s="16"/>
      <c r="Z33" s="22" t="str">
        <f t="shared" si="4"/>
        <v/>
      </c>
      <c r="AA33" s="3" t="str">
        <f t="shared" si="5"/>
        <v/>
      </c>
      <c r="AB33" s="58"/>
      <c r="AC33" s="59"/>
    </row>
    <row r="34" spans="1:29" x14ac:dyDescent="0.3">
      <c r="A34" s="10"/>
      <c r="B34" s="1"/>
      <c r="C34" s="2"/>
      <c r="D34" s="2"/>
      <c r="E34" s="2"/>
      <c r="F34" s="2"/>
      <c r="G34" s="19"/>
      <c r="H34" s="10"/>
      <c r="I34" s="1"/>
      <c r="J34" s="2"/>
      <c r="K34" s="2"/>
      <c r="L34" s="2"/>
      <c r="M34" s="2"/>
      <c r="N34" s="19"/>
      <c r="O34" s="15" t="str">
        <f t="shared" si="2"/>
        <v/>
      </c>
      <c r="P34" s="65"/>
      <c r="Q34" s="43" t="str">
        <f>IF($O34="","","DMUS0188")</f>
        <v/>
      </c>
      <c r="R34" s="3" t="str">
        <f>IF($O34="","","Sistemas e Estruturas Musicais IV")</f>
        <v/>
      </c>
      <c r="S34" s="2">
        <f t="shared" si="3"/>
        <v>60</v>
      </c>
      <c r="T34" s="2">
        <v>2</v>
      </c>
      <c r="U34" s="2">
        <v>1</v>
      </c>
      <c r="V34" s="2">
        <v>0</v>
      </c>
      <c r="W34" s="2">
        <v>0</v>
      </c>
      <c r="X34" s="2"/>
      <c r="Y34" s="16"/>
      <c r="Z34" s="22" t="str">
        <f t="shared" si="4"/>
        <v/>
      </c>
      <c r="AA34" s="3" t="str">
        <f t="shared" si="5"/>
        <v/>
      </c>
      <c r="AB34" s="58"/>
      <c r="AC34" s="59"/>
    </row>
    <row r="35" spans="1:29" x14ac:dyDescent="0.3">
      <c r="A35" s="10" t="s">
        <v>145</v>
      </c>
      <c r="B35" s="1" t="s">
        <v>74</v>
      </c>
      <c r="C35" s="2">
        <f t="shared" si="0"/>
        <v>60</v>
      </c>
      <c r="D35" s="2">
        <v>2</v>
      </c>
      <c r="E35" s="2">
        <v>1</v>
      </c>
      <c r="F35" s="2">
        <v>0</v>
      </c>
      <c r="G35" s="19"/>
      <c r="H35" s="10" t="s">
        <v>75</v>
      </c>
      <c r="I35" s="1" t="s">
        <v>74</v>
      </c>
      <c r="J35" s="2">
        <f t="shared" si="1"/>
        <v>60</v>
      </c>
      <c r="K35" s="2">
        <v>0</v>
      </c>
      <c r="L35" s="2">
        <v>2</v>
      </c>
      <c r="M35" s="2">
        <v>0</v>
      </c>
      <c r="N35" s="19"/>
      <c r="O35" s="15" t="str">
        <f t="shared" si="2"/>
        <v/>
      </c>
      <c r="P35" s="65"/>
      <c r="Q35" s="43" t="str">
        <f>IF($O35="","","DMUS0191")</f>
        <v/>
      </c>
      <c r="R35" s="3" t="str">
        <f>IF($O35="","","Introdução à Regência e Organologia")</f>
        <v/>
      </c>
      <c r="S35" s="2">
        <f t="shared" si="3"/>
        <v>45</v>
      </c>
      <c r="T35" s="2">
        <v>1</v>
      </c>
      <c r="U35" s="2">
        <v>0</v>
      </c>
      <c r="V35" s="2">
        <v>0</v>
      </c>
      <c r="W35" s="2">
        <v>2</v>
      </c>
      <c r="X35" s="2"/>
      <c r="Y35" s="24" t="str">
        <f>IF($O35=1,1,"")</f>
        <v/>
      </c>
      <c r="Z35" s="22" t="str">
        <f t="shared" si="4"/>
        <v/>
      </c>
      <c r="AA35" s="3" t="str">
        <f t="shared" si="5"/>
        <v/>
      </c>
      <c r="AB35" s="58"/>
      <c r="AC35" s="59"/>
    </row>
    <row r="36" spans="1:29" x14ac:dyDescent="0.3">
      <c r="A36" s="10" t="s">
        <v>138</v>
      </c>
      <c r="B36" s="1" t="s">
        <v>131</v>
      </c>
      <c r="C36" s="2">
        <f t="shared" si="0"/>
        <v>60</v>
      </c>
      <c r="D36" s="2">
        <v>2</v>
      </c>
      <c r="E36" s="2">
        <v>1</v>
      </c>
      <c r="F36" s="2">
        <v>0</v>
      </c>
      <c r="G36" s="19"/>
      <c r="H36" s="10" t="s">
        <v>71</v>
      </c>
      <c r="I36" s="1" t="s">
        <v>70</v>
      </c>
      <c r="J36" s="2">
        <f t="shared" si="1"/>
        <v>60</v>
      </c>
      <c r="K36" s="2">
        <v>0</v>
      </c>
      <c r="L36" s="2">
        <v>2</v>
      </c>
      <c r="M36" s="2">
        <v>0</v>
      </c>
      <c r="N36" s="19"/>
      <c r="O36" s="15" t="str">
        <f t="shared" si="2"/>
        <v/>
      </c>
      <c r="P36" s="65"/>
      <c r="Q36" s="43" t="str">
        <f>IF($O36="","","DMUS0186")</f>
        <v/>
      </c>
      <c r="R36" s="3" t="str">
        <f>IF($O36="","","Fundamentos e Práticas da Educação Musical III")</f>
        <v/>
      </c>
      <c r="S36" s="2">
        <f t="shared" si="3"/>
        <v>60</v>
      </c>
      <c r="T36" s="2">
        <v>2</v>
      </c>
      <c r="U36" s="2">
        <v>0</v>
      </c>
      <c r="V36" s="2">
        <v>0</v>
      </c>
      <c r="W36" s="2">
        <v>2</v>
      </c>
      <c r="X36" s="2"/>
      <c r="Y36" s="24" t="str">
        <f>IF($O36=1,0,"")</f>
        <v/>
      </c>
      <c r="Z36" s="22" t="str">
        <f t="shared" si="4"/>
        <v/>
      </c>
      <c r="AA36" s="3" t="str">
        <f t="shared" si="5"/>
        <v/>
      </c>
      <c r="AB36" s="58"/>
      <c r="AC36" s="59"/>
    </row>
    <row r="37" spans="1:29" x14ac:dyDescent="0.3">
      <c r="A37" s="10"/>
      <c r="B37" s="1"/>
      <c r="C37" s="2"/>
      <c r="D37" s="2"/>
      <c r="E37" s="2"/>
      <c r="F37" s="2"/>
      <c r="G37" s="19"/>
      <c r="H37" s="10" t="s">
        <v>82</v>
      </c>
      <c r="I37" s="1" t="s">
        <v>17</v>
      </c>
      <c r="J37" s="2">
        <f t="shared" ref="J37:J58" si="6">($K37*15)+($L37*30)+($M37*45)</f>
        <v>60</v>
      </c>
      <c r="K37" s="2">
        <v>0</v>
      </c>
      <c r="L37" s="2">
        <v>2</v>
      </c>
      <c r="M37" s="2">
        <v>0</v>
      </c>
      <c r="N37" s="19"/>
      <c r="O37" s="15" t="str">
        <f t="shared" ref="O37:O69" si="7">IF($G37="Sim",1,IF($N37="Sim",1,""))</f>
        <v/>
      </c>
      <c r="P37" s="65"/>
      <c r="Q37" s="43" t="str">
        <f>IF($O37="","","DMUS0217")</f>
        <v/>
      </c>
      <c r="R37" s="3" t="str">
        <f>IF($O37="","","Metodologia da Pesquisa em Música")</f>
        <v/>
      </c>
      <c r="S37" s="2">
        <f t="shared" ref="S37:S59" si="8">($T37*15)+($U37*30)+($V37*45)+($W37*15)</f>
        <v>45</v>
      </c>
      <c r="T37" s="2">
        <v>3</v>
      </c>
      <c r="U37" s="2">
        <v>0</v>
      </c>
      <c r="V37" s="2">
        <v>0</v>
      </c>
      <c r="W37" s="2">
        <v>0</v>
      </c>
      <c r="X37" s="2"/>
      <c r="Y37" s="24" t="str">
        <f>IF($O37=1,1,"")</f>
        <v/>
      </c>
      <c r="Z37" s="22" t="str">
        <f t="shared" ref="Z37:Z58" si="9">IF($R37="","",$Q37)</f>
        <v/>
      </c>
      <c r="AA37" s="3" t="str">
        <f t="shared" ref="AA37:AA58" si="10">IF($R37="","",$R37)</f>
        <v/>
      </c>
      <c r="AB37" s="58"/>
      <c r="AC37" s="59"/>
    </row>
    <row r="38" spans="1:29" x14ac:dyDescent="0.3">
      <c r="A38" s="10" t="s">
        <v>36</v>
      </c>
      <c r="B38" s="1" t="s">
        <v>35</v>
      </c>
      <c r="C38" s="2">
        <f t="shared" ref="C38:C68" si="11">($D38*15)+($E38*30)+($F38*45)</f>
        <v>60</v>
      </c>
      <c r="D38" s="2">
        <v>4</v>
      </c>
      <c r="E38" s="2">
        <v>0</v>
      </c>
      <c r="F38" s="2">
        <v>0</v>
      </c>
      <c r="G38" s="19"/>
      <c r="H38" s="10" t="s">
        <v>36</v>
      </c>
      <c r="I38" s="1" t="s">
        <v>35</v>
      </c>
      <c r="J38" s="2">
        <f t="shared" si="6"/>
        <v>60</v>
      </c>
      <c r="K38" s="2">
        <v>4</v>
      </c>
      <c r="L38" s="2">
        <v>0</v>
      </c>
      <c r="M38" s="2">
        <v>0</v>
      </c>
      <c r="N38" s="19"/>
      <c r="O38" s="15" t="str">
        <f t="shared" si="7"/>
        <v/>
      </c>
      <c r="P38" s="65"/>
      <c r="Q38" s="43" t="str">
        <f>IF($O38="","","DEII0410")</f>
        <v/>
      </c>
      <c r="R38" s="3" t="str">
        <f>IF($O38="","","Psicologia da Educação I")</f>
        <v/>
      </c>
      <c r="S38" s="2">
        <f t="shared" si="8"/>
        <v>60</v>
      </c>
      <c r="T38" s="2">
        <v>4</v>
      </c>
      <c r="U38" s="2">
        <v>0</v>
      </c>
      <c r="V38" s="2">
        <v>0</v>
      </c>
      <c r="W38" s="2">
        <v>0</v>
      </c>
      <c r="X38" s="2"/>
      <c r="Y38" s="24" t="str">
        <f>IF($O38=1,0,"")</f>
        <v/>
      </c>
      <c r="Z38" s="22" t="str">
        <f t="shared" si="9"/>
        <v/>
      </c>
      <c r="AA38" s="3" t="str">
        <f t="shared" si="10"/>
        <v/>
      </c>
      <c r="AB38" s="58"/>
      <c r="AC38" s="59"/>
    </row>
    <row r="39" spans="1:29" x14ac:dyDescent="0.3">
      <c r="A39" s="10" t="s">
        <v>149</v>
      </c>
      <c r="B39" s="1" t="s">
        <v>148</v>
      </c>
      <c r="C39" s="2">
        <f t="shared" si="11"/>
        <v>90</v>
      </c>
      <c r="D39" s="2">
        <v>0</v>
      </c>
      <c r="E39" s="2">
        <v>0</v>
      </c>
      <c r="F39" s="2">
        <v>2</v>
      </c>
      <c r="G39" s="19"/>
      <c r="H39" s="10"/>
      <c r="I39" s="1"/>
      <c r="J39" s="2"/>
      <c r="K39" s="2"/>
      <c r="L39" s="2"/>
      <c r="M39" s="2"/>
      <c r="N39" s="19"/>
      <c r="O39" s="15" t="str">
        <f t="shared" si="7"/>
        <v/>
      </c>
      <c r="P39" s="66"/>
      <c r="Q39" s="44" t="str">
        <f>IF($O39="","","DMUS0192")</f>
        <v/>
      </c>
      <c r="R39" s="34" t="str">
        <f>IF($O39="","","Estágio Obrigatório I")</f>
        <v/>
      </c>
      <c r="S39" s="35">
        <f t="shared" si="8"/>
        <v>90</v>
      </c>
      <c r="T39" s="35">
        <v>0</v>
      </c>
      <c r="U39" s="35">
        <v>0</v>
      </c>
      <c r="V39" s="35">
        <v>2</v>
      </c>
      <c r="W39" s="35">
        <v>0</v>
      </c>
      <c r="X39" s="35"/>
      <c r="Y39" s="38" t="str">
        <f>IF($O39=1,0,"")</f>
        <v/>
      </c>
      <c r="Z39" s="22" t="str">
        <f t="shared" si="9"/>
        <v/>
      </c>
      <c r="AA39" s="3" t="str">
        <f t="shared" si="10"/>
        <v/>
      </c>
      <c r="AB39" s="58"/>
      <c r="AC39" s="59"/>
    </row>
    <row r="40" spans="1:29" x14ac:dyDescent="0.3">
      <c r="A40" s="10"/>
      <c r="B40" s="1"/>
      <c r="C40" s="2"/>
      <c r="D40" s="2"/>
      <c r="E40" s="2"/>
      <c r="F40" s="2"/>
      <c r="G40" s="19"/>
      <c r="H40" s="10" t="s">
        <v>109</v>
      </c>
      <c r="I40" s="1" t="s">
        <v>108</v>
      </c>
      <c r="J40" s="2">
        <f t="shared" si="6"/>
        <v>60</v>
      </c>
      <c r="K40" s="2">
        <v>4</v>
      </c>
      <c r="L40" s="2">
        <v>0</v>
      </c>
      <c r="M40" s="2">
        <v>0</v>
      </c>
      <c r="N40" s="19"/>
      <c r="O40" s="15" t="str">
        <f t="shared" si="7"/>
        <v/>
      </c>
      <c r="P40" s="64">
        <v>6</v>
      </c>
      <c r="Q40" s="42" t="str">
        <f>IF($O40="","","DMUS0194")</f>
        <v/>
      </c>
      <c r="R40" s="32" t="str">
        <f>IF($O40="","","Música e Cultura Popular do Maranhão")</f>
        <v/>
      </c>
      <c r="S40" s="33">
        <f t="shared" si="8"/>
        <v>45</v>
      </c>
      <c r="T40" s="33">
        <v>1</v>
      </c>
      <c r="U40" s="33">
        <v>0</v>
      </c>
      <c r="V40" s="33">
        <v>0</v>
      </c>
      <c r="W40" s="33">
        <v>2</v>
      </c>
      <c r="X40" s="33"/>
      <c r="Y40" s="37" t="str">
        <f>IF($O40=1,1,"")</f>
        <v/>
      </c>
      <c r="Z40" s="22" t="str">
        <f t="shared" si="9"/>
        <v/>
      </c>
      <c r="AA40" s="3" t="str">
        <f t="shared" si="10"/>
        <v/>
      </c>
      <c r="AB40" s="58"/>
      <c r="AC40" s="59"/>
    </row>
    <row r="41" spans="1:29" x14ac:dyDescent="0.3">
      <c r="A41" s="10"/>
      <c r="B41" s="1"/>
      <c r="C41" s="2"/>
      <c r="D41" s="2"/>
      <c r="E41" s="2"/>
      <c r="F41" s="2"/>
      <c r="G41" s="19"/>
      <c r="H41" s="10"/>
      <c r="I41" s="1"/>
      <c r="J41" s="2"/>
      <c r="K41" s="2"/>
      <c r="L41" s="2"/>
      <c r="M41" s="2"/>
      <c r="N41" s="19"/>
      <c r="O41" s="15" t="str">
        <f t="shared" si="7"/>
        <v/>
      </c>
      <c r="P41" s="65"/>
      <c r="Q41" s="43" t="str">
        <f>IF($O41="","","DMUS0196")</f>
        <v/>
      </c>
      <c r="R41" s="3" t="str">
        <f>IF($O41="","","Instrumento Auxiliar Melódico III")</f>
        <v/>
      </c>
      <c r="S41" s="2">
        <f t="shared" si="8"/>
        <v>30</v>
      </c>
      <c r="T41" s="2">
        <v>0</v>
      </c>
      <c r="U41" s="2">
        <v>1</v>
      </c>
      <c r="V41" s="2">
        <v>0</v>
      </c>
      <c r="W41" s="2">
        <v>0</v>
      </c>
      <c r="X41" s="2"/>
      <c r="Y41" s="16"/>
      <c r="Z41" s="22" t="str">
        <f t="shared" si="9"/>
        <v/>
      </c>
      <c r="AA41" s="3" t="str">
        <f t="shared" si="10"/>
        <v/>
      </c>
      <c r="AB41" s="58"/>
      <c r="AC41" s="59"/>
    </row>
    <row r="42" spans="1:29" x14ac:dyDescent="0.3">
      <c r="A42" s="10" t="s">
        <v>153</v>
      </c>
      <c r="B42" s="1" t="s">
        <v>152</v>
      </c>
      <c r="C42" s="2">
        <f t="shared" si="11"/>
        <v>60</v>
      </c>
      <c r="D42" s="2">
        <v>2</v>
      </c>
      <c r="E42" s="2">
        <v>1</v>
      </c>
      <c r="F42" s="2">
        <v>0</v>
      </c>
      <c r="G42" s="19"/>
      <c r="H42" s="10" t="s">
        <v>86</v>
      </c>
      <c r="I42" s="1" t="s">
        <v>18</v>
      </c>
      <c r="J42" s="2">
        <f t="shared" si="6"/>
        <v>60</v>
      </c>
      <c r="K42" s="2">
        <v>0</v>
      </c>
      <c r="L42" s="2">
        <v>2</v>
      </c>
      <c r="M42" s="2">
        <v>0</v>
      </c>
      <c r="N42" s="19"/>
      <c r="O42" s="15" t="str">
        <f t="shared" si="7"/>
        <v/>
      </c>
      <c r="P42" s="65"/>
      <c r="Q42" s="43" t="str">
        <f>IF($O42="","","DMUS0197")</f>
        <v/>
      </c>
      <c r="R42" s="3" t="str">
        <f>IF($O42="","","Prática de Regência")</f>
        <v/>
      </c>
      <c r="S42" s="2">
        <f t="shared" si="8"/>
        <v>60</v>
      </c>
      <c r="T42" s="2">
        <v>2</v>
      </c>
      <c r="U42" s="2">
        <v>0</v>
      </c>
      <c r="V42" s="2">
        <v>0</v>
      </c>
      <c r="W42" s="2">
        <v>2</v>
      </c>
      <c r="X42" s="2"/>
      <c r="Y42" s="24" t="str">
        <f>IF($O42=1,0,"")</f>
        <v/>
      </c>
      <c r="Z42" s="22" t="str">
        <f t="shared" si="9"/>
        <v/>
      </c>
      <c r="AA42" s="3" t="str">
        <f t="shared" si="10"/>
        <v/>
      </c>
      <c r="AB42" s="58"/>
      <c r="AC42" s="59"/>
    </row>
    <row r="43" spans="1:29" x14ac:dyDescent="0.3">
      <c r="A43" s="10" t="s">
        <v>139</v>
      </c>
      <c r="B43" s="1" t="s">
        <v>140</v>
      </c>
      <c r="C43" s="2">
        <f t="shared" si="11"/>
        <v>60</v>
      </c>
      <c r="D43" s="2">
        <v>2</v>
      </c>
      <c r="E43" s="2">
        <v>1</v>
      </c>
      <c r="F43" s="2">
        <v>0</v>
      </c>
      <c r="G43" s="19"/>
      <c r="H43" s="10" t="s">
        <v>81</v>
      </c>
      <c r="I43" s="1" t="s">
        <v>80</v>
      </c>
      <c r="J43" s="2">
        <f t="shared" si="6"/>
        <v>60</v>
      </c>
      <c r="K43" s="2">
        <v>0</v>
      </c>
      <c r="L43" s="2">
        <v>2</v>
      </c>
      <c r="M43" s="2">
        <v>0</v>
      </c>
      <c r="N43" s="19"/>
      <c r="O43" s="15" t="str">
        <f t="shared" si="7"/>
        <v/>
      </c>
      <c r="P43" s="65"/>
      <c r="Q43" s="43" t="str">
        <f>IF($O43="","","DMUS0193")</f>
        <v/>
      </c>
      <c r="R43" s="3" t="str">
        <f>IF($O43="","","Fundamentos e Práticas da Educação Musical IV")</f>
        <v/>
      </c>
      <c r="S43" s="2">
        <f t="shared" si="8"/>
        <v>60</v>
      </c>
      <c r="T43" s="2">
        <v>2</v>
      </c>
      <c r="U43" s="2">
        <v>0</v>
      </c>
      <c r="V43" s="2">
        <v>0</v>
      </c>
      <c r="W43" s="2">
        <v>2</v>
      </c>
      <c r="X43" s="2"/>
      <c r="Y43" s="24" t="str">
        <f>IF($O43=1,0,"")</f>
        <v/>
      </c>
      <c r="Z43" s="22" t="str">
        <f t="shared" si="9"/>
        <v/>
      </c>
      <c r="AA43" s="3" t="str">
        <f t="shared" si="10"/>
        <v/>
      </c>
      <c r="AB43" s="58"/>
      <c r="AC43" s="59"/>
    </row>
    <row r="44" spans="1:29" x14ac:dyDescent="0.3">
      <c r="A44" s="10" t="s">
        <v>156</v>
      </c>
      <c r="B44" s="1" t="s">
        <v>155</v>
      </c>
      <c r="C44" s="2">
        <v>30</v>
      </c>
      <c r="D44" s="2" t="s">
        <v>169</v>
      </c>
      <c r="E44" s="2" t="s">
        <v>169</v>
      </c>
      <c r="F44" s="2" t="s">
        <v>169</v>
      </c>
      <c r="G44" s="19"/>
      <c r="H44" s="10" t="s">
        <v>91</v>
      </c>
      <c r="I44" s="1" t="s">
        <v>19</v>
      </c>
      <c r="J44" s="2">
        <f t="shared" si="6"/>
        <v>30</v>
      </c>
      <c r="K44" s="2">
        <v>2</v>
      </c>
      <c r="L44" s="2">
        <v>0</v>
      </c>
      <c r="M44" s="2">
        <v>0</v>
      </c>
      <c r="N44" s="19"/>
      <c r="O44" s="15" t="str">
        <f t="shared" si="7"/>
        <v/>
      </c>
      <c r="P44" s="65"/>
      <c r="Q44" s="43" t="str">
        <f>IF($O44="","","DMUS0195")</f>
        <v/>
      </c>
      <c r="R44" s="3" t="str">
        <f>IF($O44="","","Orientação de TCC I")</f>
        <v/>
      </c>
      <c r="S44" s="2">
        <f t="shared" si="8"/>
        <v>30</v>
      </c>
      <c r="T44" s="2">
        <v>2</v>
      </c>
      <c r="U44" s="2">
        <v>0</v>
      </c>
      <c r="V44" s="2">
        <v>0</v>
      </c>
      <c r="W44" s="2">
        <v>0</v>
      </c>
      <c r="X44" s="2"/>
      <c r="Y44" s="24" t="str">
        <f>IF($O44=1,0,"")</f>
        <v/>
      </c>
      <c r="Z44" s="22" t="str">
        <f t="shared" si="9"/>
        <v/>
      </c>
      <c r="AA44" s="3" t="str">
        <f t="shared" si="10"/>
        <v/>
      </c>
      <c r="AB44" s="58"/>
      <c r="AC44" s="59"/>
    </row>
    <row r="45" spans="1:29" x14ac:dyDescent="0.3">
      <c r="A45" s="10"/>
      <c r="B45" s="1"/>
      <c r="C45" s="2"/>
      <c r="D45" s="2"/>
      <c r="E45" s="2"/>
      <c r="F45" s="2"/>
      <c r="G45" s="19"/>
      <c r="H45" s="10" t="s">
        <v>30</v>
      </c>
      <c r="I45" s="1" t="s">
        <v>31</v>
      </c>
      <c r="J45" s="2">
        <f t="shared" si="6"/>
        <v>60</v>
      </c>
      <c r="K45" s="2">
        <v>0</v>
      </c>
      <c r="L45" s="2">
        <v>2</v>
      </c>
      <c r="M45" s="2">
        <v>0</v>
      </c>
      <c r="N45" s="19"/>
      <c r="O45" s="15" t="str">
        <f t="shared" si="7"/>
        <v/>
      </c>
      <c r="P45" s="65"/>
      <c r="Q45" s="43" t="str">
        <f>IF($O45="","","DARC0105")</f>
        <v/>
      </c>
      <c r="R45" s="3" t="str">
        <f>IF($O45="","","Corpo e Movimento")</f>
        <v/>
      </c>
      <c r="S45" s="2">
        <f t="shared" si="8"/>
        <v>60</v>
      </c>
      <c r="T45" s="2">
        <v>2</v>
      </c>
      <c r="U45" s="2">
        <v>1</v>
      </c>
      <c r="V45" s="2">
        <v>0</v>
      </c>
      <c r="W45" s="2">
        <v>0</v>
      </c>
      <c r="X45" s="2"/>
      <c r="Y45" s="24" t="str">
        <f>IF($O45=1,0,"")</f>
        <v/>
      </c>
      <c r="Z45" s="22" t="str">
        <f t="shared" si="9"/>
        <v/>
      </c>
      <c r="AA45" s="3" t="str">
        <f t="shared" si="10"/>
        <v/>
      </c>
      <c r="AB45" s="58"/>
      <c r="AC45" s="59"/>
    </row>
    <row r="46" spans="1:29" x14ac:dyDescent="0.3">
      <c r="A46" s="10" t="s">
        <v>150</v>
      </c>
      <c r="B46" s="1" t="s">
        <v>151</v>
      </c>
      <c r="C46" s="2">
        <f t="shared" si="11"/>
        <v>90</v>
      </c>
      <c r="D46" s="2">
        <v>0</v>
      </c>
      <c r="E46" s="2">
        <v>0</v>
      </c>
      <c r="F46" s="2">
        <v>2</v>
      </c>
      <c r="G46" s="19"/>
      <c r="H46" s="10"/>
      <c r="I46" s="1"/>
      <c r="J46" s="2"/>
      <c r="K46" s="2"/>
      <c r="L46" s="2"/>
      <c r="M46" s="2"/>
      <c r="N46" s="19"/>
      <c r="O46" s="15" t="str">
        <f t="shared" si="7"/>
        <v/>
      </c>
      <c r="P46" s="66"/>
      <c r="Q46" s="44" t="str">
        <f>IF($O46="","","DMUS0198")</f>
        <v/>
      </c>
      <c r="R46" s="34" t="str">
        <f>IF($O46="","","Estágio Obrigatório II")</f>
        <v/>
      </c>
      <c r="S46" s="35">
        <f t="shared" si="8"/>
        <v>90</v>
      </c>
      <c r="T46" s="35">
        <v>0</v>
      </c>
      <c r="U46" s="35">
        <v>0</v>
      </c>
      <c r="V46" s="35">
        <v>2</v>
      </c>
      <c r="W46" s="35">
        <v>0</v>
      </c>
      <c r="X46" s="35"/>
      <c r="Y46" s="40"/>
      <c r="Z46" s="22" t="str">
        <f t="shared" si="9"/>
        <v/>
      </c>
      <c r="AA46" s="3" t="str">
        <f t="shared" si="10"/>
        <v/>
      </c>
      <c r="AB46" s="58"/>
      <c r="AC46" s="59"/>
    </row>
    <row r="47" spans="1:29" x14ac:dyDescent="0.3">
      <c r="A47" s="10"/>
      <c r="B47" s="1"/>
      <c r="C47" s="2"/>
      <c r="D47" s="2"/>
      <c r="E47" s="2"/>
      <c r="F47" s="2"/>
      <c r="G47" s="19"/>
      <c r="H47" s="10" t="s">
        <v>111</v>
      </c>
      <c r="I47" s="1" t="s">
        <v>110</v>
      </c>
      <c r="J47" s="2">
        <f t="shared" si="6"/>
        <v>60</v>
      </c>
      <c r="K47" s="2">
        <v>0</v>
      </c>
      <c r="L47" s="2">
        <v>2</v>
      </c>
      <c r="M47" s="2">
        <v>0</v>
      </c>
      <c r="N47" s="19"/>
      <c r="O47" s="15" t="str">
        <f t="shared" si="7"/>
        <v/>
      </c>
      <c r="P47" s="64">
        <v>7</v>
      </c>
      <c r="Q47" s="42" t="str">
        <f>IF($O47="","","DMUS0202")</f>
        <v/>
      </c>
      <c r="R47" s="32" t="str">
        <f>IF($O47="","","Instrumento Auxiliar Percussivo I")</f>
        <v/>
      </c>
      <c r="S47" s="33">
        <f t="shared" si="8"/>
        <v>30</v>
      </c>
      <c r="T47" s="33">
        <v>0</v>
      </c>
      <c r="U47" s="33">
        <v>1</v>
      </c>
      <c r="V47" s="33">
        <v>0</v>
      </c>
      <c r="W47" s="33">
        <v>0</v>
      </c>
      <c r="X47" s="33"/>
      <c r="Y47" s="37" t="str">
        <f>IF($O47=1,2,"")</f>
        <v/>
      </c>
      <c r="Z47" s="22" t="str">
        <f t="shared" si="9"/>
        <v/>
      </c>
      <c r="AA47" s="3" t="str">
        <f t="shared" si="10"/>
        <v/>
      </c>
      <c r="AB47" s="58"/>
      <c r="AC47" s="59"/>
    </row>
    <row r="48" spans="1:29" x14ac:dyDescent="0.3">
      <c r="A48" s="10" t="s">
        <v>85</v>
      </c>
      <c r="B48" s="1" t="s">
        <v>20</v>
      </c>
      <c r="C48" s="2">
        <f t="shared" si="11"/>
        <v>60</v>
      </c>
      <c r="D48" s="2">
        <v>0</v>
      </c>
      <c r="E48" s="2">
        <v>2</v>
      </c>
      <c r="F48" s="2">
        <v>0</v>
      </c>
      <c r="G48" s="19"/>
      <c r="H48" s="10" t="s">
        <v>85</v>
      </c>
      <c r="I48" s="1" t="s">
        <v>20</v>
      </c>
      <c r="J48" s="2">
        <f t="shared" si="6"/>
        <v>60</v>
      </c>
      <c r="K48" s="2">
        <v>0</v>
      </c>
      <c r="L48" s="2">
        <v>2</v>
      </c>
      <c r="M48" s="2">
        <v>0</v>
      </c>
      <c r="N48" s="19"/>
      <c r="O48" s="15" t="str">
        <f t="shared" si="7"/>
        <v/>
      </c>
      <c r="P48" s="65"/>
      <c r="Q48" s="43" t="str">
        <f>IF($O48="","","DMUS0203")</f>
        <v/>
      </c>
      <c r="R48" s="3" t="str">
        <f>IF($O48="","","Prática de Conjunto I")</f>
        <v/>
      </c>
      <c r="S48" s="2">
        <f t="shared" si="8"/>
        <v>60</v>
      </c>
      <c r="T48" s="2">
        <v>0</v>
      </c>
      <c r="U48" s="2">
        <v>1</v>
      </c>
      <c r="V48" s="2">
        <v>0</v>
      </c>
      <c r="W48" s="2">
        <v>2</v>
      </c>
      <c r="X48" s="2"/>
      <c r="Y48" s="24" t="str">
        <f>IF($O48=1,0,"")</f>
        <v/>
      </c>
      <c r="Z48" s="22" t="str">
        <f t="shared" si="9"/>
        <v/>
      </c>
      <c r="AA48" s="3" t="str">
        <f t="shared" si="10"/>
        <v/>
      </c>
      <c r="AB48" s="58"/>
      <c r="AC48" s="59"/>
    </row>
    <row r="49" spans="1:29" x14ac:dyDescent="0.3">
      <c r="A49" s="10"/>
      <c r="B49" s="1"/>
      <c r="C49" s="2"/>
      <c r="D49" s="2"/>
      <c r="E49" s="2"/>
      <c r="F49" s="2"/>
      <c r="G49" s="19"/>
      <c r="H49" s="10" t="s">
        <v>88</v>
      </c>
      <c r="I49" s="1" t="s">
        <v>87</v>
      </c>
      <c r="J49" s="2">
        <f t="shared" si="6"/>
        <v>60</v>
      </c>
      <c r="K49" s="2">
        <v>0</v>
      </c>
      <c r="L49" s="2">
        <v>2</v>
      </c>
      <c r="M49" s="2">
        <v>0</v>
      </c>
      <c r="N49" s="19"/>
      <c r="O49" s="15" t="str">
        <f t="shared" si="7"/>
        <v/>
      </c>
      <c r="P49" s="65"/>
      <c r="Q49" s="43" t="str">
        <f>IF($O49="","","DMUS0200")</f>
        <v/>
      </c>
      <c r="R49" s="3" t="str">
        <f>IF($O49="","","Educação Musical Especial e Inclusiva")</f>
        <v/>
      </c>
      <c r="S49" s="2">
        <f t="shared" si="8"/>
        <v>60</v>
      </c>
      <c r="T49" s="2">
        <v>2</v>
      </c>
      <c r="U49" s="2">
        <v>0</v>
      </c>
      <c r="V49" s="2">
        <v>0</v>
      </c>
      <c r="W49" s="2">
        <v>2</v>
      </c>
      <c r="X49" s="2"/>
      <c r="Y49" s="24" t="str">
        <f>IF($O49=1,0,"")</f>
        <v/>
      </c>
      <c r="Z49" s="22" t="str">
        <f t="shared" si="9"/>
        <v/>
      </c>
      <c r="AA49" s="3" t="str">
        <f t="shared" si="10"/>
        <v/>
      </c>
      <c r="AB49" s="58"/>
      <c r="AC49" s="59"/>
    </row>
    <row r="50" spans="1:29" x14ac:dyDescent="0.3">
      <c r="A50" s="10" t="s">
        <v>160</v>
      </c>
      <c r="B50" s="1" t="s">
        <v>159</v>
      </c>
      <c r="C50" s="2">
        <v>30</v>
      </c>
      <c r="D50" s="2" t="s">
        <v>169</v>
      </c>
      <c r="E50" s="2" t="s">
        <v>169</v>
      </c>
      <c r="F50" s="2" t="s">
        <v>169</v>
      </c>
      <c r="G50" s="19"/>
      <c r="H50" s="10" t="s">
        <v>98</v>
      </c>
      <c r="I50" s="1" t="s">
        <v>21</v>
      </c>
      <c r="J50" s="2">
        <f t="shared" si="6"/>
        <v>30</v>
      </c>
      <c r="K50" s="2">
        <v>2</v>
      </c>
      <c r="L50" s="2">
        <v>0</v>
      </c>
      <c r="M50" s="2">
        <v>0</v>
      </c>
      <c r="N50" s="19"/>
      <c r="O50" s="15" t="str">
        <f t="shared" si="7"/>
        <v/>
      </c>
      <c r="P50" s="65"/>
      <c r="Q50" s="43" t="str">
        <f>IF($O50="","","DMUS0201")</f>
        <v/>
      </c>
      <c r="R50" s="3" t="str">
        <f>IF($O50="","","Orientação de TCC II")</f>
        <v/>
      </c>
      <c r="S50" s="2">
        <f t="shared" si="8"/>
        <v>30</v>
      </c>
      <c r="T50" s="2">
        <v>2</v>
      </c>
      <c r="U50" s="2">
        <v>0</v>
      </c>
      <c r="V50" s="2">
        <v>0</v>
      </c>
      <c r="W50" s="2">
        <v>0</v>
      </c>
      <c r="X50" s="2"/>
      <c r="Y50" s="24" t="str">
        <f>IF($O50=1,0,"")</f>
        <v/>
      </c>
      <c r="Z50" s="22" t="str">
        <f t="shared" si="9"/>
        <v/>
      </c>
      <c r="AA50" s="3" t="str">
        <f t="shared" si="10"/>
        <v/>
      </c>
      <c r="AB50" s="58"/>
      <c r="AC50" s="59"/>
    </row>
    <row r="51" spans="1:29" x14ac:dyDescent="0.3">
      <c r="A51" s="10" t="s">
        <v>54</v>
      </c>
      <c r="B51" s="1" t="s">
        <v>53</v>
      </c>
      <c r="C51" s="2">
        <f t="shared" si="11"/>
        <v>60</v>
      </c>
      <c r="D51" s="2">
        <v>4</v>
      </c>
      <c r="E51" s="2">
        <v>0</v>
      </c>
      <c r="F51" s="2">
        <v>0</v>
      </c>
      <c r="G51" s="19"/>
      <c r="H51" s="10" t="s">
        <v>54</v>
      </c>
      <c r="I51" s="1" t="s">
        <v>53</v>
      </c>
      <c r="J51" s="2">
        <f t="shared" si="6"/>
        <v>60</v>
      </c>
      <c r="K51" s="2">
        <v>4</v>
      </c>
      <c r="L51" s="2">
        <v>0</v>
      </c>
      <c r="M51" s="2">
        <v>0</v>
      </c>
      <c r="N51" s="19"/>
      <c r="O51" s="15" t="str">
        <f t="shared" si="7"/>
        <v/>
      </c>
      <c r="P51" s="65"/>
      <c r="Q51" s="43" t="str">
        <f>IF($O51="","","DMUS0199")</f>
        <v/>
      </c>
      <c r="R51" s="3" t="str">
        <f>IF($O51="","","Filosofia e Estética Musical")</f>
        <v/>
      </c>
      <c r="S51" s="2">
        <f t="shared" si="8"/>
        <v>45</v>
      </c>
      <c r="T51" s="2">
        <v>3</v>
      </c>
      <c r="U51" s="2">
        <v>0</v>
      </c>
      <c r="V51" s="2">
        <v>0</v>
      </c>
      <c r="W51" s="2">
        <v>0</v>
      </c>
      <c r="X51" s="2"/>
      <c r="Y51" s="24" t="str">
        <f>IF($O51=1,1,"")</f>
        <v/>
      </c>
      <c r="Z51" s="22" t="str">
        <f t="shared" si="9"/>
        <v/>
      </c>
      <c r="AA51" s="3" t="str">
        <f t="shared" si="10"/>
        <v/>
      </c>
      <c r="AB51" s="58"/>
      <c r="AC51" s="59"/>
    </row>
    <row r="52" spans="1:29" x14ac:dyDescent="0.3">
      <c r="A52" s="10" t="s">
        <v>162</v>
      </c>
      <c r="B52" s="1" t="s">
        <v>161</v>
      </c>
      <c r="C52" s="2">
        <f t="shared" si="11"/>
        <v>90</v>
      </c>
      <c r="D52" s="2">
        <v>0</v>
      </c>
      <c r="E52" s="2">
        <v>0</v>
      </c>
      <c r="F52" s="2">
        <v>2</v>
      </c>
      <c r="G52" s="19"/>
      <c r="H52" s="10"/>
      <c r="I52" s="1"/>
      <c r="J52" s="2"/>
      <c r="K52" s="2"/>
      <c r="L52" s="2"/>
      <c r="M52" s="2"/>
      <c r="N52" s="19"/>
      <c r="O52" s="15" t="str">
        <f t="shared" si="7"/>
        <v/>
      </c>
      <c r="P52" s="66"/>
      <c r="Q52" s="44" t="str">
        <f>IF($O52="","","DMUS0204")</f>
        <v/>
      </c>
      <c r="R52" s="34" t="str">
        <f>IF($O52="","","Estágio Obrigatório III")</f>
        <v/>
      </c>
      <c r="S52" s="35">
        <f t="shared" si="8"/>
        <v>90</v>
      </c>
      <c r="T52" s="35">
        <v>0</v>
      </c>
      <c r="U52" s="35">
        <v>0</v>
      </c>
      <c r="V52" s="35">
        <v>2</v>
      </c>
      <c r="W52" s="35">
        <v>0</v>
      </c>
      <c r="X52" s="35"/>
      <c r="Y52" s="40"/>
      <c r="Z52" s="22" t="str">
        <f t="shared" si="9"/>
        <v/>
      </c>
      <c r="AA52" s="3" t="str">
        <f t="shared" si="10"/>
        <v/>
      </c>
      <c r="AB52" s="58"/>
      <c r="AC52" s="59"/>
    </row>
    <row r="53" spans="1:29" x14ac:dyDescent="0.3">
      <c r="A53" s="10"/>
      <c r="B53" s="1"/>
      <c r="C53" s="2"/>
      <c r="D53" s="2"/>
      <c r="E53" s="2"/>
      <c r="F53" s="2"/>
      <c r="G53" s="19"/>
      <c r="H53" s="10"/>
      <c r="I53" s="1"/>
      <c r="J53" s="2"/>
      <c r="K53" s="2"/>
      <c r="L53" s="2"/>
      <c r="M53" s="2"/>
      <c r="N53" s="19"/>
      <c r="O53" s="15" t="str">
        <f t="shared" si="7"/>
        <v/>
      </c>
      <c r="P53" s="64">
        <v>8</v>
      </c>
      <c r="Q53" s="42" t="str">
        <f>IF($O53="","","DMUS0207")</f>
        <v/>
      </c>
      <c r="R53" s="32" t="str">
        <f>IF($O53="","","Instrumento Auxiliar Percussivo II")</f>
        <v/>
      </c>
      <c r="S53" s="33">
        <f t="shared" si="8"/>
        <v>30</v>
      </c>
      <c r="T53" s="33">
        <v>0</v>
      </c>
      <c r="U53" s="33">
        <v>1</v>
      </c>
      <c r="V53" s="33">
        <v>0</v>
      </c>
      <c r="W53" s="33">
        <v>0</v>
      </c>
      <c r="X53" s="33"/>
      <c r="Y53" s="39"/>
      <c r="Z53" s="22" t="str">
        <f t="shared" si="9"/>
        <v/>
      </c>
      <c r="AA53" s="3" t="str">
        <f t="shared" si="10"/>
        <v/>
      </c>
      <c r="AB53" s="58"/>
      <c r="AC53" s="59"/>
    </row>
    <row r="54" spans="1:29" x14ac:dyDescent="0.3">
      <c r="A54" s="10" t="s">
        <v>97</v>
      </c>
      <c r="B54" s="1" t="s">
        <v>22</v>
      </c>
      <c r="C54" s="2">
        <f t="shared" si="11"/>
        <v>60</v>
      </c>
      <c r="D54" s="2">
        <v>0</v>
      </c>
      <c r="E54" s="2">
        <v>2</v>
      </c>
      <c r="F54" s="2">
        <v>0</v>
      </c>
      <c r="G54" s="19"/>
      <c r="H54" s="10" t="s">
        <v>97</v>
      </c>
      <c r="I54" s="1" t="s">
        <v>22</v>
      </c>
      <c r="J54" s="2">
        <f t="shared" si="6"/>
        <v>60</v>
      </c>
      <c r="K54" s="2">
        <v>0</v>
      </c>
      <c r="L54" s="2">
        <v>2</v>
      </c>
      <c r="M54" s="2">
        <v>0</v>
      </c>
      <c r="N54" s="19"/>
      <c r="O54" s="15" t="str">
        <f t="shared" si="7"/>
        <v/>
      </c>
      <c r="P54" s="65"/>
      <c r="Q54" s="43" t="str">
        <f>IF($O54="","","DMUS0208")</f>
        <v/>
      </c>
      <c r="R54" s="3" t="str">
        <f>IF($O54="","","Prática de Conjunto II")</f>
        <v/>
      </c>
      <c r="S54" s="2">
        <f t="shared" si="8"/>
        <v>60</v>
      </c>
      <c r="T54" s="2">
        <v>0</v>
      </c>
      <c r="U54" s="2">
        <v>1</v>
      </c>
      <c r="V54" s="2">
        <v>0</v>
      </c>
      <c r="W54" s="2">
        <v>2</v>
      </c>
      <c r="X54" s="2"/>
      <c r="Y54" s="24" t="str">
        <f>IF($O54=1,0,"")</f>
        <v/>
      </c>
      <c r="Z54" s="22" t="str">
        <f t="shared" si="9"/>
        <v/>
      </c>
      <c r="AA54" s="3" t="str">
        <f t="shared" si="10"/>
        <v/>
      </c>
      <c r="AB54" s="58"/>
      <c r="AC54" s="59"/>
    </row>
    <row r="55" spans="1:29" x14ac:dyDescent="0.3">
      <c r="A55" s="10" t="s">
        <v>65</v>
      </c>
      <c r="B55" s="1" t="s">
        <v>64</v>
      </c>
      <c r="C55" s="2">
        <f t="shared" si="11"/>
        <v>60</v>
      </c>
      <c r="D55" s="2">
        <v>0</v>
      </c>
      <c r="E55" s="2">
        <v>2</v>
      </c>
      <c r="F55" s="2">
        <v>0</v>
      </c>
      <c r="G55" s="19"/>
      <c r="H55" s="10" t="s">
        <v>65</v>
      </c>
      <c r="I55" s="1" t="s">
        <v>64</v>
      </c>
      <c r="J55" s="2">
        <f t="shared" si="6"/>
        <v>60</v>
      </c>
      <c r="K55" s="2">
        <v>0</v>
      </c>
      <c r="L55" s="2">
        <v>2</v>
      </c>
      <c r="M55" s="2">
        <v>0</v>
      </c>
      <c r="N55" s="19"/>
      <c r="O55" s="15" t="str">
        <f t="shared" si="7"/>
        <v/>
      </c>
      <c r="P55" s="65"/>
      <c r="Q55" s="43" t="str">
        <f>IF($O55="","","DMUS0205")</f>
        <v/>
      </c>
      <c r="R55" s="3" t="str">
        <f>IF($O55="","","Lab. Práticas Criativas em Educação Musical")</f>
        <v/>
      </c>
      <c r="S55" s="2">
        <f t="shared" si="8"/>
        <v>45</v>
      </c>
      <c r="T55" s="2">
        <v>0</v>
      </c>
      <c r="U55" s="2">
        <v>1</v>
      </c>
      <c r="V55" s="2">
        <v>0</v>
      </c>
      <c r="W55" s="2">
        <v>1</v>
      </c>
      <c r="X55" s="2"/>
      <c r="Y55" s="24" t="str">
        <f>IF($O55=1,1,"")</f>
        <v/>
      </c>
      <c r="Z55" s="22" t="str">
        <f t="shared" si="9"/>
        <v/>
      </c>
      <c r="AA55" s="3" t="str">
        <f t="shared" si="10"/>
        <v/>
      </c>
      <c r="AB55" s="58"/>
      <c r="AC55" s="59"/>
    </row>
    <row r="56" spans="1:29" x14ac:dyDescent="0.3">
      <c r="A56" s="10" t="s">
        <v>165</v>
      </c>
      <c r="B56" s="1" t="s">
        <v>164</v>
      </c>
      <c r="C56" s="2">
        <v>0</v>
      </c>
      <c r="D56" s="2" t="s">
        <v>169</v>
      </c>
      <c r="E56" s="2" t="s">
        <v>169</v>
      </c>
      <c r="F56" s="2" t="s">
        <v>169</v>
      </c>
      <c r="G56" s="19"/>
      <c r="H56" s="10" t="s">
        <v>101</v>
      </c>
      <c r="I56" s="1" t="s">
        <v>23</v>
      </c>
      <c r="J56" s="2">
        <f t="shared" si="6"/>
        <v>0</v>
      </c>
      <c r="K56" s="2">
        <v>0</v>
      </c>
      <c r="L56" s="2">
        <v>0</v>
      </c>
      <c r="M56" s="2">
        <v>0</v>
      </c>
      <c r="N56" s="19"/>
      <c r="O56" s="15" t="str">
        <f t="shared" si="7"/>
        <v/>
      </c>
      <c r="P56" s="65"/>
      <c r="Q56" s="43" t="str">
        <f>IF($O56="","","DMUS0206")</f>
        <v/>
      </c>
      <c r="R56" s="3" t="str">
        <f>IF($O56="","","Trabalho de Conclusão de Curso")</f>
        <v/>
      </c>
      <c r="S56" s="2">
        <f t="shared" si="8"/>
        <v>30</v>
      </c>
      <c r="T56" s="2">
        <v>2</v>
      </c>
      <c r="U56" s="2">
        <v>0</v>
      </c>
      <c r="V56" s="2">
        <v>0</v>
      </c>
      <c r="W56" s="2">
        <v>0</v>
      </c>
      <c r="X56" s="2"/>
      <c r="Y56" s="24" t="str">
        <f>IF($O56=1,0,"")</f>
        <v/>
      </c>
      <c r="Z56" s="22" t="str">
        <f t="shared" si="9"/>
        <v/>
      </c>
      <c r="AA56" s="3" t="str">
        <f t="shared" si="10"/>
        <v/>
      </c>
      <c r="AB56" s="58"/>
      <c r="AC56" s="59"/>
    </row>
    <row r="57" spans="1:29" x14ac:dyDescent="0.3">
      <c r="A57" s="10" t="s">
        <v>167</v>
      </c>
      <c r="B57" s="1" t="s">
        <v>166</v>
      </c>
      <c r="C57" s="2">
        <f t="shared" si="11"/>
        <v>90</v>
      </c>
      <c r="D57" s="2">
        <v>0</v>
      </c>
      <c r="E57" s="2">
        <v>0</v>
      </c>
      <c r="F57" s="2">
        <v>2</v>
      </c>
      <c r="G57" s="19"/>
      <c r="H57" s="10"/>
      <c r="I57" s="1"/>
      <c r="J57" s="2"/>
      <c r="K57" s="2"/>
      <c r="L57" s="2"/>
      <c r="M57" s="2"/>
      <c r="N57" s="19"/>
      <c r="O57" s="15" t="str">
        <f t="shared" si="7"/>
        <v/>
      </c>
      <c r="P57" s="65"/>
      <c r="Q57" s="43" t="str">
        <f>IF($O57="","","DMUS0209")</f>
        <v/>
      </c>
      <c r="R57" s="3" t="str">
        <f>IF($O57="","","Estágio Obrigatório IV")</f>
        <v/>
      </c>
      <c r="S57" s="2">
        <f t="shared" si="8"/>
        <v>90</v>
      </c>
      <c r="T57" s="2">
        <v>0</v>
      </c>
      <c r="U57" s="2">
        <v>0</v>
      </c>
      <c r="V57" s="2">
        <v>2</v>
      </c>
      <c r="W57" s="2">
        <v>0</v>
      </c>
      <c r="X57" s="2"/>
      <c r="Y57" s="24" t="str">
        <f>IF($O57=1,0,"")</f>
        <v/>
      </c>
      <c r="Z57" s="22" t="str">
        <f t="shared" si="9"/>
        <v/>
      </c>
      <c r="AA57" s="3" t="str">
        <f t="shared" si="10"/>
        <v/>
      </c>
      <c r="AB57" s="58"/>
      <c r="AC57" s="59"/>
    </row>
    <row r="58" spans="1:29" x14ac:dyDescent="0.3">
      <c r="A58" s="10" t="s">
        <v>163</v>
      </c>
      <c r="B58" s="1" t="s">
        <v>95</v>
      </c>
      <c r="C58" s="2">
        <f t="shared" si="11"/>
        <v>60</v>
      </c>
      <c r="D58" s="2">
        <v>4</v>
      </c>
      <c r="E58" s="2">
        <v>0</v>
      </c>
      <c r="F58" s="2">
        <v>0</v>
      </c>
      <c r="G58" s="19"/>
      <c r="H58" s="10" t="s">
        <v>96</v>
      </c>
      <c r="I58" s="1" t="s">
        <v>95</v>
      </c>
      <c r="J58" s="2">
        <f t="shared" si="6"/>
        <v>60</v>
      </c>
      <c r="K58" s="2">
        <v>0</v>
      </c>
      <c r="L58" s="2">
        <v>2</v>
      </c>
      <c r="M58" s="2">
        <v>0</v>
      </c>
      <c r="N58" s="19"/>
      <c r="O58" s="15" t="str">
        <f t="shared" si="7"/>
        <v/>
      </c>
      <c r="P58" s="66"/>
      <c r="Q58" s="44" t="str">
        <f>IF($O58="","","DLER0846")</f>
        <v/>
      </c>
      <c r="R58" s="34" t="str">
        <f>IF($O58="","","LIBRAS")</f>
        <v/>
      </c>
      <c r="S58" s="35">
        <f t="shared" si="8"/>
        <v>60</v>
      </c>
      <c r="T58" s="35">
        <v>2</v>
      </c>
      <c r="U58" s="35">
        <v>1</v>
      </c>
      <c r="V58" s="35">
        <v>0</v>
      </c>
      <c r="W58" s="35">
        <v>0</v>
      </c>
      <c r="X58" s="35"/>
      <c r="Y58" s="38" t="str">
        <f>IF($O58=1,0,"")</f>
        <v/>
      </c>
      <c r="Z58" s="22" t="str">
        <f t="shared" si="9"/>
        <v/>
      </c>
      <c r="AA58" s="3" t="str">
        <f t="shared" si="10"/>
        <v/>
      </c>
      <c r="AB58" s="58"/>
      <c r="AC58" s="59"/>
    </row>
    <row r="59" spans="1:29" ht="14.4" customHeight="1" x14ac:dyDescent="0.3">
      <c r="A59" s="10"/>
      <c r="B59" s="1"/>
      <c r="C59" s="2"/>
      <c r="D59" s="2"/>
      <c r="E59" s="2"/>
      <c r="F59" s="2"/>
      <c r="G59" s="19"/>
      <c r="H59" s="10"/>
      <c r="I59" s="1"/>
      <c r="J59" s="2"/>
      <c r="K59" s="2"/>
      <c r="L59" s="2"/>
      <c r="M59" s="2"/>
      <c r="N59" s="19"/>
      <c r="O59" s="15" t="str">
        <f t="shared" si="7"/>
        <v/>
      </c>
      <c r="P59" s="69" t="s">
        <v>169</v>
      </c>
      <c r="Q59" s="45" t="s">
        <v>169</v>
      </c>
      <c r="R59" s="32" t="s">
        <v>186</v>
      </c>
      <c r="S59" s="33">
        <f t="shared" si="8"/>
        <v>120</v>
      </c>
      <c r="T59" s="33">
        <v>8</v>
      </c>
      <c r="U59" s="33">
        <v>0</v>
      </c>
      <c r="V59" s="33">
        <v>0</v>
      </c>
      <c r="W59" s="33">
        <v>0</v>
      </c>
      <c r="X59" s="33"/>
      <c r="Y59" s="37" t="str">
        <f>IF($O59=1,0,"")</f>
        <v/>
      </c>
      <c r="Z59" s="25" t="str">
        <f>IF($AB59="","",$Q59)</f>
        <v>-</v>
      </c>
      <c r="AA59" s="3" t="str">
        <f>IF($AB59="","",$R59)</f>
        <v>Optativas I a IV</v>
      </c>
      <c r="AB59" s="56">
        <f>IF(SUM($S62:$S77)&gt;$S59,$S59,SUM($S62:$S77))</f>
        <v>0</v>
      </c>
      <c r="AC59" s="26" t="str">
        <f>IF($AB59="","","-")</f>
        <v>-</v>
      </c>
    </row>
    <row r="60" spans="1:29" ht="14.4" customHeight="1" x14ac:dyDescent="0.3">
      <c r="A60" s="10" t="s">
        <v>168</v>
      </c>
      <c r="B60" s="1" t="s">
        <v>24</v>
      </c>
      <c r="C60" s="2">
        <v>210</v>
      </c>
      <c r="D60" s="2" t="s">
        <v>169</v>
      </c>
      <c r="E60" s="2" t="s">
        <v>169</v>
      </c>
      <c r="F60" s="2" t="s">
        <v>169</v>
      </c>
      <c r="G60" s="19"/>
      <c r="H60" s="10" t="s">
        <v>103</v>
      </c>
      <c r="I60" s="1" t="s">
        <v>102</v>
      </c>
      <c r="J60" s="2">
        <v>240</v>
      </c>
      <c r="K60" s="2" t="s">
        <v>169</v>
      </c>
      <c r="L60" s="2" t="s">
        <v>169</v>
      </c>
      <c r="M60" s="2" t="s">
        <v>169</v>
      </c>
      <c r="N60" s="19"/>
      <c r="O60" s="15" t="str">
        <f t="shared" si="7"/>
        <v/>
      </c>
      <c r="P60" s="70"/>
      <c r="Q60" s="43" t="s">
        <v>25</v>
      </c>
      <c r="R60" s="3" t="s">
        <v>24</v>
      </c>
      <c r="S60" s="2">
        <v>110</v>
      </c>
      <c r="T60" s="2" t="s">
        <v>169</v>
      </c>
      <c r="U60" s="2" t="s">
        <v>169</v>
      </c>
      <c r="V60" s="2" t="s">
        <v>169</v>
      </c>
      <c r="W60" s="2" t="s">
        <v>169</v>
      </c>
      <c r="X60" s="2"/>
      <c r="Y60" s="21" t="s">
        <v>169</v>
      </c>
      <c r="Z60" s="22" t="str">
        <f>IF($S60=0,"",$Q60)</f>
        <v>DMUS0210</v>
      </c>
      <c r="AA60" s="3" t="str">
        <f>IF($S60=0,"",$R60)</f>
        <v>Atividades Complementares</v>
      </c>
      <c r="AB60" s="56">
        <f>IF(IF($G60="Sim",$C60,IF(N60="Sim",$J60,0))+IF(SUM($S62:$S77)&gt;$S59,SUM($S62:$S77)-$S59,0)+(SUM($Y5:$Y58)*15)&gt;$S60,$S60,IF($G60="Sim",$C60,IF(N60="Sim",$J60,0))+IF(SUM($S62:$S77)&gt;$S59,SUM($S62:$S77)-$S59,0)+(SUM($Y5:$Y58)*15))</f>
        <v>0</v>
      </c>
      <c r="AC60" s="26" t="str">
        <f>IF($S60=0,"","-")</f>
        <v>-</v>
      </c>
    </row>
    <row r="61" spans="1:29" ht="14.4" customHeight="1" thickBot="1" x14ac:dyDescent="0.35">
      <c r="A61" s="10"/>
      <c r="B61" s="1"/>
      <c r="C61" s="2"/>
      <c r="D61" s="2"/>
      <c r="E61" s="2"/>
      <c r="F61" s="2"/>
      <c r="G61" s="19"/>
      <c r="H61" s="10"/>
      <c r="I61" s="1"/>
      <c r="J61" s="2"/>
      <c r="K61" s="2"/>
      <c r="L61" s="2"/>
      <c r="M61" s="2"/>
      <c r="N61" s="19"/>
      <c r="O61" s="15" t="str">
        <f t="shared" si="7"/>
        <v/>
      </c>
      <c r="P61" s="71"/>
      <c r="Q61" s="44" t="s">
        <v>26</v>
      </c>
      <c r="R61" s="34" t="s">
        <v>27</v>
      </c>
      <c r="S61" s="35">
        <v>350</v>
      </c>
      <c r="T61" s="35" t="s">
        <v>169</v>
      </c>
      <c r="U61" s="35" t="s">
        <v>169</v>
      </c>
      <c r="V61" s="35" t="s">
        <v>169</v>
      </c>
      <c r="W61" s="35" t="s">
        <v>169</v>
      </c>
      <c r="X61" s="35"/>
      <c r="Y61" s="41" t="s">
        <v>169</v>
      </c>
      <c r="Z61" s="23" t="str">
        <f>IF($AB61="","",$Q61)</f>
        <v>DMUS0234</v>
      </c>
      <c r="AA61" s="17" t="str">
        <f>IF($AB61="","",$R61)</f>
        <v>Unidade Curricular de Extensão</v>
      </c>
      <c r="AB61" s="57">
        <f>IF(IF($G60="Sim",$C60,IF(N60="Sim",$J60,0))+IF(SUM($S62:$S77)&gt;$S59,SUM($S62:$S77)-$S59,0)+(SUM($Y5:$Y58)*15)&gt;$S60,IF($G60="Sim",$C60,IF(N60="Sim",$J60,0))+IF(SUM($S62:$S77)&gt;$S59,SUM($S62:$S77)-$S59,0)+(SUM($Y5:$Y58)*15)-$S60,IF($G60="Sim",$C60,IF(N60="Sim",$J60,0))+IF(SUM($S62:$S77)&gt;$S59,SUM($S62:$S77)-$S59,0)+(SUM($Y5:$Y58)*15))</f>
        <v>0</v>
      </c>
      <c r="AC61" s="55" t="str">
        <f>IF($AB61="","","-")</f>
        <v>-</v>
      </c>
    </row>
    <row r="62" spans="1:29" x14ac:dyDescent="0.3">
      <c r="A62" s="10" t="s">
        <v>115</v>
      </c>
      <c r="B62" s="1" t="s">
        <v>114</v>
      </c>
      <c r="C62" s="2">
        <f t="shared" si="11"/>
        <v>45</v>
      </c>
      <c r="D62" s="2">
        <v>1</v>
      </c>
      <c r="E62" s="2">
        <v>1</v>
      </c>
      <c r="F62" s="2">
        <v>0</v>
      </c>
      <c r="G62" s="19"/>
      <c r="H62" s="10" t="s">
        <v>38</v>
      </c>
      <c r="I62" s="1" t="s">
        <v>39</v>
      </c>
      <c r="J62" s="2">
        <f t="shared" ref="J62:J73" si="12">($K62*15)+($L62*30)+($M62*45)</f>
        <v>60</v>
      </c>
      <c r="K62" s="2">
        <v>0</v>
      </c>
      <c r="L62" s="2">
        <v>2</v>
      </c>
      <c r="M62" s="2">
        <v>0</v>
      </c>
      <c r="N62" s="19"/>
      <c r="O62" s="15" t="str">
        <f t="shared" si="7"/>
        <v/>
      </c>
      <c r="P62" s="67" t="s">
        <v>184</v>
      </c>
      <c r="Q62" s="46" t="str">
        <f t="shared" ref="Q62:Q77" si="13">IF($G62="Sim","-",IF($N62="Sim","-",""))</f>
        <v/>
      </c>
      <c r="R62" s="30" t="str">
        <f t="shared" ref="R62:R77" si="14">IF($G62="Sim",$B62,IF($N62="Sim",$I62,""))</f>
        <v/>
      </c>
      <c r="S62" s="30" t="str">
        <f t="shared" ref="S62:S77" si="15">IF($G62="Sim",$C62,IF($N62="Sim",$J62,""))</f>
        <v/>
      </c>
      <c r="T62" s="31" t="str">
        <f t="shared" ref="T62:T77" si="16">IF($G62="Sim",$D62,IF($N62="Sim",$K62,""))</f>
        <v/>
      </c>
      <c r="U62" s="31" t="str">
        <f t="shared" ref="U62:U77" si="17">IF($G62="Sim",$E62,IF($N62="Sim",$L62,""))</f>
        <v/>
      </c>
      <c r="V62" s="31" t="str">
        <f t="shared" ref="V62:V77" si="18">IF($G62="Sim",$F62,IF($N62="Sim",$M62,""))</f>
        <v/>
      </c>
      <c r="W62" s="31"/>
      <c r="X62" s="31"/>
      <c r="Y62" s="36"/>
      <c r="Z62" s="53"/>
      <c r="AA62" s="7"/>
      <c r="AB62" s="54"/>
      <c r="AC62" s="54"/>
    </row>
    <row r="63" spans="1:29" x14ac:dyDescent="0.3">
      <c r="A63" s="10"/>
      <c r="B63" s="1"/>
      <c r="C63" s="2"/>
      <c r="D63" s="2"/>
      <c r="E63" s="2"/>
      <c r="F63" s="2"/>
      <c r="G63" s="19"/>
      <c r="H63" s="10" t="s">
        <v>40</v>
      </c>
      <c r="I63" s="1" t="s">
        <v>41</v>
      </c>
      <c r="J63" s="2">
        <f t="shared" si="12"/>
        <v>60</v>
      </c>
      <c r="K63" s="2">
        <v>0</v>
      </c>
      <c r="L63" s="2">
        <v>2</v>
      </c>
      <c r="M63" s="2">
        <v>0</v>
      </c>
      <c r="N63" s="19"/>
      <c r="O63" s="15" t="str">
        <f t="shared" si="7"/>
        <v/>
      </c>
      <c r="P63" s="67"/>
      <c r="Q63" s="47" t="str">
        <f t="shared" si="13"/>
        <v/>
      </c>
      <c r="R63" s="3" t="str">
        <f t="shared" si="14"/>
        <v/>
      </c>
      <c r="S63" s="3" t="str">
        <f t="shared" si="15"/>
        <v/>
      </c>
      <c r="T63" s="2" t="str">
        <f t="shared" si="16"/>
        <v/>
      </c>
      <c r="U63" s="2" t="str">
        <f t="shared" si="17"/>
        <v/>
      </c>
      <c r="V63" s="2" t="str">
        <f t="shared" si="18"/>
        <v/>
      </c>
      <c r="W63" s="2"/>
      <c r="X63" s="2"/>
      <c r="Y63" s="16"/>
      <c r="Z63" s="53"/>
      <c r="AA63" s="7"/>
      <c r="AB63" s="54"/>
      <c r="AC63" s="54"/>
    </row>
    <row r="64" spans="1:29" x14ac:dyDescent="0.3">
      <c r="A64" s="10" t="s">
        <v>43</v>
      </c>
      <c r="B64" s="1" t="s">
        <v>44</v>
      </c>
      <c r="C64" s="2">
        <f t="shared" si="11"/>
        <v>60</v>
      </c>
      <c r="D64" s="2">
        <v>4</v>
      </c>
      <c r="E64" s="2">
        <v>0</v>
      </c>
      <c r="F64" s="2">
        <v>0</v>
      </c>
      <c r="G64" s="19"/>
      <c r="H64" s="10" t="s">
        <v>43</v>
      </c>
      <c r="I64" s="1" t="s">
        <v>44</v>
      </c>
      <c r="J64" s="2">
        <f t="shared" si="12"/>
        <v>60</v>
      </c>
      <c r="K64" s="2">
        <v>4</v>
      </c>
      <c r="L64" s="2">
        <v>0</v>
      </c>
      <c r="M64" s="2">
        <v>0</v>
      </c>
      <c r="N64" s="19"/>
      <c r="O64" s="15" t="str">
        <f t="shared" si="7"/>
        <v/>
      </c>
      <c r="P64" s="67"/>
      <c r="Q64" s="47" t="str">
        <f t="shared" si="13"/>
        <v/>
      </c>
      <c r="R64" s="3" t="str">
        <f t="shared" si="14"/>
        <v/>
      </c>
      <c r="S64" s="3" t="str">
        <f t="shared" si="15"/>
        <v/>
      </c>
      <c r="T64" s="2" t="str">
        <f t="shared" si="16"/>
        <v/>
      </c>
      <c r="U64" s="2" t="str">
        <f t="shared" si="17"/>
        <v/>
      </c>
      <c r="V64" s="2" t="str">
        <f t="shared" si="18"/>
        <v/>
      </c>
      <c r="W64" s="2"/>
      <c r="X64" s="2"/>
      <c r="Y64" s="16"/>
      <c r="Z64" s="53"/>
      <c r="AA64" s="7"/>
      <c r="AB64" s="54"/>
      <c r="AC64" s="54"/>
    </row>
    <row r="65" spans="1:29" x14ac:dyDescent="0.3">
      <c r="A65" s="10" t="s">
        <v>124</v>
      </c>
      <c r="B65" s="1" t="s">
        <v>123</v>
      </c>
      <c r="C65" s="2">
        <f t="shared" si="11"/>
        <v>45</v>
      </c>
      <c r="D65" s="2">
        <v>1</v>
      </c>
      <c r="E65" s="2">
        <v>1</v>
      </c>
      <c r="F65" s="2">
        <v>0</v>
      </c>
      <c r="G65" s="19"/>
      <c r="H65" s="10" t="s">
        <v>46</v>
      </c>
      <c r="I65" s="1" t="s">
        <v>47</v>
      </c>
      <c r="J65" s="2">
        <f t="shared" si="12"/>
        <v>60</v>
      </c>
      <c r="K65" s="2">
        <v>0</v>
      </c>
      <c r="L65" s="2">
        <v>2</v>
      </c>
      <c r="M65" s="2">
        <v>0</v>
      </c>
      <c r="N65" s="19"/>
      <c r="O65" s="15" t="str">
        <f t="shared" si="7"/>
        <v/>
      </c>
      <c r="P65" s="67"/>
      <c r="Q65" s="47" t="str">
        <f t="shared" si="13"/>
        <v/>
      </c>
      <c r="R65" s="3" t="str">
        <f t="shared" si="14"/>
        <v/>
      </c>
      <c r="S65" s="3" t="str">
        <f t="shared" si="15"/>
        <v/>
      </c>
      <c r="T65" s="2" t="str">
        <f t="shared" si="16"/>
        <v/>
      </c>
      <c r="U65" s="2" t="str">
        <f t="shared" si="17"/>
        <v/>
      </c>
      <c r="V65" s="2" t="str">
        <f t="shared" si="18"/>
        <v/>
      </c>
      <c r="W65" s="2"/>
      <c r="X65" s="2"/>
      <c r="Y65" s="16"/>
      <c r="Z65" s="53"/>
      <c r="AA65" s="7"/>
      <c r="AB65" s="54"/>
      <c r="AC65" s="54"/>
    </row>
    <row r="66" spans="1:29" x14ac:dyDescent="0.3">
      <c r="A66" s="10" t="s">
        <v>136</v>
      </c>
      <c r="B66" s="1" t="s">
        <v>135</v>
      </c>
      <c r="C66" s="2">
        <f t="shared" si="11"/>
        <v>45</v>
      </c>
      <c r="D66" s="2">
        <v>1</v>
      </c>
      <c r="E66" s="2">
        <v>1</v>
      </c>
      <c r="F66" s="2">
        <v>0</v>
      </c>
      <c r="G66" s="19"/>
      <c r="H66" s="10" t="s">
        <v>59</v>
      </c>
      <c r="I66" s="1" t="s">
        <v>58</v>
      </c>
      <c r="J66" s="2">
        <f t="shared" si="12"/>
        <v>60</v>
      </c>
      <c r="K66" s="2">
        <v>0</v>
      </c>
      <c r="L66" s="2">
        <v>2</v>
      </c>
      <c r="M66" s="2">
        <v>0</v>
      </c>
      <c r="N66" s="19"/>
      <c r="O66" s="15" t="str">
        <f t="shared" si="7"/>
        <v/>
      </c>
      <c r="P66" s="67"/>
      <c r="Q66" s="47" t="str">
        <f t="shared" si="13"/>
        <v/>
      </c>
      <c r="R66" s="3" t="str">
        <f t="shared" si="14"/>
        <v/>
      </c>
      <c r="S66" s="3" t="str">
        <f t="shared" si="15"/>
        <v/>
      </c>
      <c r="T66" s="2" t="str">
        <f t="shared" si="16"/>
        <v/>
      </c>
      <c r="U66" s="2" t="str">
        <f t="shared" si="17"/>
        <v/>
      </c>
      <c r="V66" s="2" t="str">
        <f t="shared" si="18"/>
        <v/>
      </c>
      <c r="W66" s="2"/>
      <c r="X66" s="2"/>
      <c r="Y66" s="16"/>
      <c r="Z66" s="53"/>
      <c r="AA66" s="7"/>
      <c r="AB66" s="54"/>
      <c r="AC66" s="54"/>
    </row>
    <row r="67" spans="1:29" x14ac:dyDescent="0.3">
      <c r="A67" s="10" t="s">
        <v>142</v>
      </c>
      <c r="B67" s="1" t="s">
        <v>141</v>
      </c>
      <c r="C67" s="2">
        <f t="shared" si="11"/>
        <v>45</v>
      </c>
      <c r="D67" s="2">
        <v>1</v>
      </c>
      <c r="E67" s="2">
        <v>1</v>
      </c>
      <c r="F67" s="2">
        <v>0</v>
      </c>
      <c r="G67" s="19"/>
      <c r="H67" s="10" t="s">
        <v>67</v>
      </c>
      <c r="I67" s="1" t="s">
        <v>66</v>
      </c>
      <c r="J67" s="2">
        <f t="shared" si="12"/>
        <v>60</v>
      </c>
      <c r="K67" s="2">
        <v>0</v>
      </c>
      <c r="L67" s="2">
        <v>2</v>
      </c>
      <c r="M67" s="2">
        <v>0</v>
      </c>
      <c r="N67" s="19"/>
      <c r="O67" s="15" t="str">
        <f t="shared" si="7"/>
        <v/>
      </c>
      <c r="P67" s="67"/>
      <c r="Q67" s="47" t="str">
        <f t="shared" si="13"/>
        <v/>
      </c>
      <c r="R67" s="3" t="str">
        <f t="shared" si="14"/>
        <v/>
      </c>
      <c r="S67" s="3" t="str">
        <f t="shared" si="15"/>
        <v/>
      </c>
      <c r="T67" s="2" t="str">
        <f t="shared" si="16"/>
        <v/>
      </c>
      <c r="U67" s="2" t="str">
        <f t="shared" si="17"/>
        <v/>
      </c>
      <c r="V67" s="2" t="str">
        <f t="shared" si="18"/>
        <v/>
      </c>
      <c r="W67" s="2"/>
      <c r="X67" s="2"/>
      <c r="Y67" s="16"/>
      <c r="Z67" s="53"/>
      <c r="AA67" s="7"/>
      <c r="AB67" s="54"/>
      <c r="AC67" s="54"/>
    </row>
    <row r="68" spans="1:29" x14ac:dyDescent="0.3">
      <c r="A68" s="10" t="s">
        <v>154</v>
      </c>
      <c r="B68" s="1" t="s">
        <v>68</v>
      </c>
      <c r="C68" s="2">
        <f t="shared" si="11"/>
        <v>60</v>
      </c>
      <c r="D68" s="2">
        <v>2</v>
      </c>
      <c r="E68" s="2">
        <v>1</v>
      </c>
      <c r="F68" s="2">
        <v>0</v>
      </c>
      <c r="G68" s="19"/>
      <c r="H68" s="10" t="s">
        <v>69</v>
      </c>
      <c r="I68" s="1" t="s">
        <v>68</v>
      </c>
      <c r="J68" s="2">
        <f t="shared" si="12"/>
        <v>60</v>
      </c>
      <c r="K68" s="2"/>
      <c r="L68" s="2">
        <v>2</v>
      </c>
      <c r="M68" s="2">
        <v>0</v>
      </c>
      <c r="N68" s="19"/>
      <c r="O68" s="15" t="str">
        <f t="shared" si="7"/>
        <v/>
      </c>
      <c r="P68" s="67"/>
      <c r="Q68" s="47" t="str">
        <f t="shared" si="13"/>
        <v/>
      </c>
      <c r="R68" s="3" t="str">
        <f t="shared" si="14"/>
        <v/>
      </c>
      <c r="S68" s="3" t="str">
        <f t="shared" si="15"/>
        <v/>
      </c>
      <c r="T68" s="2" t="str">
        <f t="shared" si="16"/>
        <v/>
      </c>
      <c r="U68" s="2" t="str">
        <f t="shared" si="17"/>
        <v/>
      </c>
      <c r="V68" s="2" t="str">
        <f t="shared" si="18"/>
        <v/>
      </c>
      <c r="W68" s="2"/>
      <c r="X68" s="2"/>
      <c r="Y68" s="16"/>
      <c r="Z68" s="53"/>
      <c r="AA68" s="7"/>
      <c r="AB68" s="54"/>
      <c r="AC68" s="54"/>
    </row>
    <row r="69" spans="1:29" x14ac:dyDescent="0.3">
      <c r="A69" s="10"/>
      <c r="B69" s="1"/>
      <c r="C69" s="2"/>
      <c r="D69" s="2"/>
      <c r="E69" s="2"/>
      <c r="F69" s="2"/>
      <c r="G69" s="19"/>
      <c r="H69" s="10" t="s">
        <v>72</v>
      </c>
      <c r="I69" s="1" t="s">
        <v>73</v>
      </c>
      <c r="J69" s="2">
        <f t="shared" si="12"/>
        <v>60</v>
      </c>
      <c r="K69" s="2">
        <v>4</v>
      </c>
      <c r="L69" s="2">
        <v>0</v>
      </c>
      <c r="M69" s="2">
        <v>0</v>
      </c>
      <c r="N69" s="19"/>
      <c r="O69" s="15" t="str">
        <f t="shared" si="7"/>
        <v/>
      </c>
      <c r="P69" s="67"/>
      <c r="Q69" s="47" t="str">
        <f t="shared" si="13"/>
        <v/>
      </c>
      <c r="R69" s="3" t="str">
        <f t="shared" si="14"/>
        <v/>
      </c>
      <c r="S69" s="3" t="str">
        <f t="shared" si="15"/>
        <v/>
      </c>
      <c r="T69" s="2" t="str">
        <f t="shared" si="16"/>
        <v/>
      </c>
      <c r="U69" s="2" t="str">
        <f t="shared" si="17"/>
        <v/>
      </c>
      <c r="V69" s="2" t="str">
        <f t="shared" si="18"/>
        <v/>
      </c>
      <c r="W69" s="2"/>
      <c r="X69" s="2"/>
      <c r="Y69" s="16"/>
      <c r="Z69" s="53"/>
      <c r="AA69" s="7"/>
      <c r="AB69" s="54"/>
      <c r="AC69" s="54"/>
    </row>
    <row r="70" spans="1:29" x14ac:dyDescent="0.3">
      <c r="A70" s="10"/>
      <c r="B70" s="1"/>
      <c r="C70" s="2"/>
      <c r="D70" s="2"/>
      <c r="E70" s="2"/>
      <c r="F70" s="2"/>
      <c r="G70" s="19"/>
      <c r="H70" s="10" t="s">
        <v>84</v>
      </c>
      <c r="I70" s="1" t="s">
        <v>83</v>
      </c>
      <c r="J70" s="2">
        <f t="shared" si="12"/>
        <v>135</v>
      </c>
      <c r="K70" s="2">
        <v>0</v>
      </c>
      <c r="L70" s="2">
        <v>0</v>
      </c>
      <c r="M70" s="2">
        <v>3</v>
      </c>
      <c r="N70" s="19"/>
      <c r="O70" s="15" t="str">
        <f t="shared" ref="O70:O78" si="19">IF($G70="Sim",1,IF($N70="Sim",1,""))</f>
        <v/>
      </c>
      <c r="P70" s="67"/>
      <c r="Q70" s="47" t="str">
        <f t="shared" si="13"/>
        <v/>
      </c>
      <c r="R70" s="3" t="str">
        <f t="shared" si="14"/>
        <v/>
      </c>
      <c r="S70" s="3" t="str">
        <f t="shared" si="15"/>
        <v/>
      </c>
      <c r="T70" s="2" t="str">
        <f t="shared" si="16"/>
        <v/>
      </c>
      <c r="U70" s="2" t="str">
        <f t="shared" si="17"/>
        <v/>
      </c>
      <c r="V70" s="2" t="str">
        <f t="shared" si="18"/>
        <v/>
      </c>
      <c r="W70" s="2"/>
      <c r="X70" s="2"/>
      <c r="Y70" s="16"/>
      <c r="Z70" s="53"/>
      <c r="AA70" s="7"/>
      <c r="AB70" s="54"/>
      <c r="AC70" s="54"/>
    </row>
    <row r="71" spans="1:29" x14ac:dyDescent="0.3">
      <c r="A71" s="10"/>
      <c r="B71" s="1"/>
      <c r="C71" s="2"/>
      <c r="D71" s="2"/>
      <c r="E71" s="2"/>
      <c r="F71" s="2"/>
      <c r="G71" s="19"/>
      <c r="H71" s="10" t="s">
        <v>90</v>
      </c>
      <c r="I71" s="1" t="s">
        <v>89</v>
      </c>
      <c r="J71" s="2">
        <f t="shared" si="12"/>
        <v>60</v>
      </c>
      <c r="K71" s="2">
        <v>0</v>
      </c>
      <c r="L71" s="2">
        <v>2</v>
      </c>
      <c r="M71" s="2"/>
      <c r="N71" s="19"/>
      <c r="O71" s="15" t="str">
        <f t="shared" si="19"/>
        <v/>
      </c>
      <c r="P71" s="67"/>
      <c r="Q71" s="47" t="str">
        <f t="shared" si="13"/>
        <v/>
      </c>
      <c r="R71" s="3" t="str">
        <f t="shared" si="14"/>
        <v/>
      </c>
      <c r="S71" s="3" t="str">
        <f t="shared" si="15"/>
        <v/>
      </c>
      <c r="T71" s="2" t="str">
        <f t="shared" si="16"/>
        <v/>
      </c>
      <c r="U71" s="2" t="str">
        <f t="shared" si="17"/>
        <v/>
      </c>
      <c r="V71" s="2" t="str">
        <f t="shared" si="18"/>
        <v/>
      </c>
      <c r="W71" s="2"/>
      <c r="X71" s="2"/>
      <c r="Y71" s="16"/>
      <c r="Z71" s="53"/>
      <c r="AA71" s="7"/>
      <c r="AB71" s="54"/>
      <c r="AC71" s="54"/>
    </row>
    <row r="72" spans="1:29" x14ac:dyDescent="0.3">
      <c r="A72" s="10"/>
      <c r="B72" s="1"/>
      <c r="C72" s="2"/>
      <c r="D72" s="2"/>
      <c r="E72" s="2"/>
      <c r="F72" s="2"/>
      <c r="G72" s="19"/>
      <c r="H72" s="10" t="s">
        <v>93</v>
      </c>
      <c r="I72" s="1" t="s">
        <v>92</v>
      </c>
      <c r="J72" s="2">
        <f t="shared" si="12"/>
        <v>135</v>
      </c>
      <c r="K72" s="2">
        <v>0</v>
      </c>
      <c r="L72" s="2">
        <v>0</v>
      </c>
      <c r="M72" s="2">
        <v>3</v>
      </c>
      <c r="N72" s="19"/>
      <c r="O72" s="15" t="str">
        <f t="shared" si="19"/>
        <v/>
      </c>
      <c r="P72" s="67"/>
      <c r="Q72" s="47" t="str">
        <f t="shared" si="13"/>
        <v/>
      </c>
      <c r="R72" s="3" t="str">
        <f t="shared" si="14"/>
        <v/>
      </c>
      <c r="S72" s="3" t="str">
        <f t="shared" si="15"/>
        <v/>
      </c>
      <c r="T72" s="2" t="str">
        <f t="shared" si="16"/>
        <v/>
      </c>
      <c r="U72" s="2" t="str">
        <f t="shared" si="17"/>
        <v/>
      </c>
      <c r="V72" s="2" t="str">
        <f t="shared" si="18"/>
        <v/>
      </c>
      <c r="W72" s="2"/>
      <c r="X72" s="2"/>
      <c r="Y72" s="16"/>
      <c r="Z72" s="53"/>
      <c r="AA72" s="7"/>
      <c r="AB72" s="54"/>
      <c r="AC72" s="54"/>
    </row>
    <row r="73" spans="1:29" x14ac:dyDescent="0.3">
      <c r="A73" s="10"/>
      <c r="B73" s="1"/>
      <c r="C73" s="2"/>
      <c r="D73" s="2"/>
      <c r="E73" s="2"/>
      <c r="F73" s="2"/>
      <c r="G73" s="19"/>
      <c r="H73" s="10" t="s">
        <v>100</v>
      </c>
      <c r="I73" s="1" t="s">
        <v>99</v>
      </c>
      <c r="J73" s="2">
        <f t="shared" si="12"/>
        <v>135</v>
      </c>
      <c r="K73" s="2">
        <v>0</v>
      </c>
      <c r="L73" s="2">
        <v>0</v>
      </c>
      <c r="M73" s="2">
        <v>3</v>
      </c>
      <c r="N73" s="19"/>
      <c r="O73" s="15" t="str">
        <f t="shared" si="19"/>
        <v/>
      </c>
      <c r="P73" s="67"/>
      <c r="Q73" s="47" t="str">
        <f t="shared" si="13"/>
        <v/>
      </c>
      <c r="R73" s="3" t="str">
        <f t="shared" si="14"/>
        <v/>
      </c>
      <c r="S73" s="3" t="str">
        <f t="shared" si="15"/>
        <v/>
      </c>
      <c r="T73" s="2" t="str">
        <f t="shared" si="16"/>
        <v/>
      </c>
      <c r="U73" s="2" t="str">
        <f t="shared" si="17"/>
        <v/>
      </c>
      <c r="V73" s="2" t="str">
        <f t="shared" si="18"/>
        <v/>
      </c>
      <c r="W73" s="2"/>
      <c r="X73" s="2"/>
      <c r="Y73" s="16"/>
      <c r="Z73" s="53"/>
      <c r="AA73" s="7"/>
      <c r="AB73" s="54"/>
      <c r="AC73" s="54"/>
    </row>
    <row r="74" spans="1:29" x14ac:dyDescent="0.3">
      <c r="A74" s="10" t="s">
        <v>119</v>
      </c>
      <c r="B74" s="1" t="s">
        <v>118</v>
      </c>
      <c r="C74" s="2">
        <f t="shared" ref="C74:C77" si="20">($D74*15)+($E74*30)+($F74*45)</f>
        <v>60</v>
      </c>
      <c r="D74" s="2">
        <v>4</v>
      </c>
      <c r="E74" s="2">
        <v>0</v>
      </c>
      <c r="F74" s="2">
        <v>0</v>
      </c>
      <c r="G74" s="19"/>
      <c r="H74" s="10"/>
      <c r="I74" s="1"/>
      <c r="J74" s="2"/>
      <c r="K74" s="2"/>
      <c r="L74" s="2"/>
      <c r="M74" s="2"/>
      <c r="N74" s="19"/>
      <c r="O74" s="15" t="str">
        <f t="shared" si="19"/>
        <v/>
      </c>
      <c r="P74" s="67"/>
      <c r="Q74" s="47" t="str">
        <f t="shared" si="13"/>
        <v/>
      </c>
      <c r="R74" s="3" t="str">
        <f t="shared" si="14"/>
        <v/>
      </c>
      <c r="S74" s="3" t="str">
        <f t="shared" si="15"/>
        <v/>
      </c>
      <c r="T74" s="2" t="str">
        <f t="shared" si="16"/>
        <v/>
      </c>
      <c r="U74" s="2" t="str">
        <f t="shared" si="17"/>
        <v/>
      </c>
      <c r="V74" s="2" t="str">
        <f t="shared" si="18"/>
        <v/>
      </c>
      <c r="W74" s="2"/>
      <c r="X74" s="2"/>
      <c r="Y74" s="16"/>
      <c r="Z74" s="53"/>
      <c r="AA74" s="7"/>
      <c r="AB74" s="54"/>
      <c r="AC74" s="54"/>
    </row>
    <row r="75" spans="1:29" x14ac:dyDescent="0.3">
      <c r="A75" s="10" t="s">
        <v>143</v>
      </c>
      <c r="B75" s="1" t="s">
        <v>144</v>
      </c>
      <c r="C75" s="2">
        <f t="shared" si="20"/>
        <v>60</v>
      </c>
      <c r="D75" s="2">
        <v>2</v>
      </c>
      <c r="E75" s="2">
        <v>1</v>
      </c>
      <c r="F75" s="2">
        <v>0</v>
      </c>
      <c r="G75" s="19"/>
      <c r="H75" s="10"/>
      <c r="I75" s="1"/>
      <c r="J75" s="2"/>
      <c r="K75" s="2"/>
      <c r="L75" s="2"/>
      <c r="M75" s="2"/>
      <c r="N75" s="19"/>
      <c r="O75" s="15" t="str">
        <f t="shared" si="19"/>
        <v/>
      </c>
      <c r="P75" s="67"/>
      <c r="Q75" s="47" t="str">
        <f t="shared" si="13"/>
        <v/>
      </c>
      <c r="R75" s="3" t="str">
        <f t="shared" si="14"/>
        <v/>
      </c>
      <c r="S75" s="3" t="str">
        <f t="shared" si="15"/>
        <v/>
      </c>
      <c r="T75" s="2" t="str">
        <f t="shared" si="16"/>
        <v/>
      </c>
      <c r="U75" s="2" t="str">
        <f t="shared" si="17"/>
        <v/>
      </c>
      <c r="V75" s="2" t="str">
        <f t="shared" si="18"/>
        <v/>
      </c>
      <c r="W75" s="2"/>
      <c r="X75" s="2"/>
      <c r="Y75" s="16"/>
      <c r="Z75" s="53"/>
      <c r="AA75" s="7"/>
      <c r="AB75" s="54"/>
      <c r="AC75" s="54"/>
    </row>
    <row r="76" spans="1:29" x14ac:dyDescent="0.3">
      <c r="A76" s="10" t="s">
        <v>147</v>
      </c>
      <c r="B76" s="1" t="s">
        <v>146</v>
      </c>
      <c r="C76" s="2">
        <f t="shared" si="20"/>
        <v>60</v>
      </c>
      <c r="D76" s="2">
        <v>0</v>
      </c>
      <c r="E76" s="2">
        <v>2</v>
      </c>
      <c r="F76" s="2">
        <v>0</v>
      </c>
      <c r="G76" s="19"/>
      <c r="H76" s="10"/>
      <c r="I76" s="1"/>
      <c r="J76" s="2"/>
      <c r="K76" s="2"/>
      <c r="L76" s="2"/>
      <c r="M76" s="2"/>
      <c r="N76" s="19"/>
      <c r="O76" s="15" t="str">
        <f t="shared" si="19"/>
        <v/>
      </c>
      <c r="P76" s="67"/>
      <c r="Q76" s="47" t="str">
        <f t="shared" si="13"/>
        <v/>
      </c>
      <c r="R76" s="3" t="str">
        <f t="shared" si="14"/>
        <v/>
      </c>
      <c r="S76" s="3" t="str">
        <f t="shared" si="15"/>
        <v/>
      </c>
      <c r="T76" s="2" t="str">
        <f t="shared" si="16"/>
        <v/>
      </c>
      <c r="U76" s="2" t="str">
        <f t="shared" si="17"/>
        <v/>
      </c>
      <c r="V76" s="2" t="str">
        <f t="shared" si="18"/>
        <v/>
      </c>
      <c r="W76" s="2"/>
      <c r="X76" s="2"/>
      <c r="Y76" s="16"/>
      <c r="Z76" s="53"/>
      <c r="AA76" s="7"/>
      <c r="AB76" s="54"/>
      <c r="AC76" s="54"/>
    </row>
    <row r="77" spans="1:29" x14ac:dyDescent="0.3">
      <c r="A77" s="10" t="s">
        <v>158</v>
      </c>
      <c r="B77" s="1" t="s">
        <v>157</v>
      </c>
      <c r="C77" s="2">
        <f t="shared" si="20"/>
        <v>60</v>
      </c>
      <c r="D77" s="2">
        <v>2</v>
      </c>
      <c r="E77" s="2">
        <v>1</v>
      </c>
      <c r="F77" s="2">
        <v>0</v>
      </c>
      <c r="G77" s="19"/>
      <c r="H77" s="10"/>
      <c r="I77" s="1"/>
      <c r="J77" s="2"/>
      <c r="K77" s="2"/>
      <c r="L77" s="2"/>
      <c r="M77" s="2"/>
      <c r="N77" s="19"/>
      <c r="O77" s="15" t="str">
        <f t="shared" si="19"/>
        <v/>
      </c>
      <c r="P77" s="67"/>
      <c r="Q77" s="47" t="str">
        <f t="shared" si="13"/>
        <v/>
      </c>
      <c r="R77" s="3" t="str">
        <f t="shared" si="14"/>
        <v/>
      </c>
      <c r="S77" s="3" t="str">
        <f t="shared" si="15"/>
        <v/>
      </c>
      <c r="T77" s="2" t="str">
        <f t="shared" si="16"/>
        <v/>
      </c>
      <c r="U77" s="2" t="str">
        <f t="shared" si="17"/>
        <v/>
      </c>
      <c r="V77" s="2" t="str">
        <f t="shared" si="18"/>
        <v/>
      </c>
      <c r="W77" s="2"/>
      <c r="X77" s="2"/>
      <c r="Y77" s="16"/>
      <c r="Z77" s="53"/>
      <c r="AA77" s="7"/>
      <c r="AB77" s="54"/>
      <c r="AC77" s="54"/>
    </row>
    <row r="78" spans="1:29" ht="15" thickBot="1" x14ac:dyDescent="0.35">
      <c r="A78" s="11"/>
      <c r="B78" s="12"/>
      <c r="C78" s="13"/>
      <c r="D78" s="13"/>
      <c r="E78" s="13"/>
      <c r="F78" s="13"/>
      <c r="G78" s="20"/>
      <c r="H78" s="11"/>
      <c r="I78" s="12"/>
      <c r="J78" s="13"/>
      <c r="K78" s="13"/>
      <c r="L78" s="13"/>
      <c r="M78" s="13"/>
      <c r="N78" s="20"/>
      <c r="O78" s="15" t="str">
        <f t="shared" si="19"/>
        <v/>
      </c>
      <c r="P78" s="68"/>
      <c r="Q78" s="48"/>
      <c r="R78" s="49" t="s">
        <v>187</v>
      </c>
      <c r="S78" s="49">
        <f>SUM($S62:$S77)</f>
        <v>0</v>
      </c>
      <c r="T78" s="50">
        <f>SUM($T62:$T77)</f>
        <v>0</v>
      </c>
      <c r="U78" s="50">
        <f>SUM($U62:$U77)</f>
        <v>0</v>
      </c>
      <c r="V78" s="50">
        <f>SUM($V62:$V77)</f>
        <v>0</v>
      </c>
      <c r="W78" s="51"/>
      <c r="X78" s="51"/>
      <c r="Y78" s="52"/>
      <c r="Z78" s="53"/>
      <c r="AA78" s="7"/>
      <c r="AB78" s="54"/>
      <c r="AC78" s="54"/>
    </row>
  </sheetData>
  <sheetProtection algorithmName="SHA-512" hashValue="wmeuDz5iUZKPwsy5x5tkX9Tfg6tLbqgLT8F3DP+B3f0XXaGMwl8WX2tLYFqByfKXm+txGi7f3UwgbjaUizlnmw==" saltValue="D/yM/tmLIG1nLRoeYtMmXQ==" spinCount="100000" sheet="1" objects="1" scenarios="1"/>
  <mergeCells count="20">
    <mergeCell ref="A1:AC1"/>
    <mergeCell ref="P53:P58"/>
    <mergeCell ref="C2:D2"/>
    <mergeCell ref="E2:G2"/>
    <mergeCell ref="A3:G3"/>
    <mergeCell ref="H3:N3"/>
    <mergeCell ref="P3:Y3"/>
    <mergeCell ref="J2:K2"/>
    <mergeCell ref="L2:M2"/>
    <mergeCell ref="N2:P2"/>
    <mergeCell ref="P17:P23"/>
    <mergeCell ref="P24:P31"/>
    <mergeCell ref="P32:P39"/>
    <mergeCell ref="P40:P46"/>
    <mergeCell ref="P47:P52"/>
    <mergeCell ref="Z3:AC3"/>
    <mergeCell ref="P5:P10"/>
    <mergeCell ref="P11:P16"/>
    <mergeCell ref="P62:P78"/>
    <mergeCell ref="P59:P61"/>
  </mergeCells>
  <dataValidations count="1">
    <dataValidation type="list" allowBlank="1" showInputMessage="1" showErrorMessage="1" sqref="N5:N77 G5:G77" xr:uid="{C4761A4B-C78A-43F1-8C77-2E667C65AC4A}">
      <formula1>$AD$3:$AE$3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59FABA0-1FA7-442A-93D0-24E121E1B943}">
            <xm:f>NOT(ISERROR(SEARCH($AD$3,G5)))</xm:f>
            <xm:f>$AD$3</xm:f>
            <x14:dxf>
              <font>
                <b/>
                <i val="0"/>
                <strike val="0"/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m:sqref>G5:G78 N5:N78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CCMU Migração Curricular</vt:lpstr>
      <vt:lpstr>Gráfico1</vt:lpstr>
      <vt:lpstr>'CCMU Migração Curricular'!Area_de_impressao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2024-12-05T01:39:06Z</cp:lastPrinted>
  <dcterms:created xsi:type="dcterms:W3CDTF">2024-12-04T17:16:54Z</dcterms:created>
  <dcterms:modified xsi:type="dcterms:W3CDTF">2024-12-05T01:42:57Z</dcterms:modified>
</cp:coreProperties>
</file>